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mp\OneDrive\Documents\Sean Work\Consulting\Chicago Community WEB\We The People (South Shore)\"/>
    </mc:Choice>
  </mc:AlternateContent>
  <xr:revisionPtr revIDLastSave="0" documentId="8_{C14C5006-6703-46AE-BBDA-1F30BFD2FA17}" xr6:coauthVersionLast="47" xr6:coauthVersionMax="47" xr10:uidLastSave="{00000000-0000-0000-0000-000000000000}"/>
  <bookViews>
    <workbookView xWindow="-108" yWindow="-108" windowWidth="23256" windowHeight="14856" xr2:uid="{F7150CD9-6D6F-40A5-80CB-349DCEB1CDF8}"/>
  </bookViews>
  <sheets>
    <sheet name="Dashboard" sheetId="7" r:id="rId1"/>
    <sheet name="Assumptions" sheetId="2" r:id="rId2"/>
    <sheet name="Model" sheetId="1" r:id="rId3"/>
  </sheets>
  <definedNames>
    <definedName name="Manual_Input">Assumptions!$F$61:$T$61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7" l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L104" i="1"/>
  <c r="D13" i="7"/>
  <c r="D12" i="7"/>
  <c r="D11" i="7"/>
  <c r="D10" i="7"/>
  <c r="D9" i="7"/>
  <c r="D7" i="7"/>
  <c r="D6" i="7"/>
  <c r="E82" i="1" l="1"/>
  <c r="E51" i="1" s="1"/>
  <c r="E50" i="1"/>
  <c r="Y84" i="1"/>
  <c r="E85" i="1"/>
  <c r="E65" i="1" l="1"/>
  <c r="E61" i="1"/>
  <c r="E22" i="1"/>
  <c r="C50" i="1"/>
  <c r="F52" i="1"/>
  <c r="F62" i="1" s="1"/>
  <c r="E52" i="1"/>
  <c r="E35" i="1"/>
  <c r="E36" i="1" s="1"/>
  <c r="F33" i="1" s="1"/>
  <c r="E43" i="1"/>
  <c r="E41" i="2"/>
  <c r="E39" i="2"/>
  <c r="F39" i="2" s="1"/>
  <c r="C42" i="2"/>
  <c r="E62" i="1" l="1"/>
  <c r="E53" i="1"/>
  <c r="E49" i="1"/>
  <c r="E90" i="1" s="1"/>
  <c r="E89" i="1"/>
  <c r="E42" i="2"/>
  <c r="F41" i="2"/>
  <c r="E39" i="1"/>
  <c r="E102" i="1" s="1"/>
  <c r="F40" i="2"/>
  <c r="F42" i="2" l="1"/>
  <c r="D8" i="7" s="1"/>
  <c r="H41" i="2" l="1"/>
  <c r="G39" i="2"/>
  <c r="G41" i="2"/>
  <c r="H39" i="2"/>
  <c r="C49" i="2" s="1"/>
  <c r="D12" i="2" l="1"/>
  <c r="F6" i="1" l="1"/>
  <c r="F34" i="1" s="1"/>
  <c r="G6" i="1" l="1"/>
  <c r="G34" i="1" s="1"/>
  <c r="H6" i="1" l="1"/>
  <c r="H34" i="1" s="1"/>
  <c r="C44" i="1"/>
  <c r="C39" i="1"/>
  <c r="E17" i="1"/>
  <c r="E13" i="1"/>
  <c r="F99" i="1"/>
  <c r="F43" i="1"/>
  <c r="F49" i="1" s="1"/>
  <c r="E40" i="1"/>
  <c r="E4" i="1"/>
  <c r="F70" i="1" l="1"/>
  <c r="F85" i="1"/>
  <c r="G99" i="1"/>
  <c r="F22" i="1"/>
  <c r="F15" i="1"/>
  <c r="I6" i="1"/>
  <c r="I34" i="1" s="1"/>
  <c r="F4" i="1"/>
  <c r="G4" i="1" s="1"/>
  <c r="H4" i="1" s="1"/>
  <c r="H5" i="1" s="1"/>
  <c r="E5" i="1"/>
  <c r="F38" i="1"/>
  <c r="F11" i="1"/>
  <c r="G70" i="1" l="1"/>
  <c r="G85" i="1"/>
  <c r="H99" i="1"/>
  <c r="G22" i="1"/>
  <c r="J6" i="1"/>
  <c r="J34" i="1" s="1"/>
  <c r="F5" i="1"/>
  <c r="G5" i="1"/>
  <c r="I4" i="1"/>
  <c r="J4" i="1" s="1"/>
  <c r="H70" i="1" l="1"/>
  <c r="H85" i="1"/>
  <c r="I99" i="1"/>
  <c r="H22" i="1"/>
  <c r="K6" i="1"/>
  <c r="K34" i="1" s="1"/>
  <c r="I5" i="1"/>
  <c r="J5" i="1"/>
  <c r="K4" i="1"/>
  <c r="I70" i="1" l="1"/>
  <c r="I85" i="1"/>
  <c r="J99" i="1"/>
  <c r="I22" i="1"/>
  <c r="L6" i="1"/>
  <c r="L34" i="1" s="1"/>
  <c r="K5" i="1"/>
  <c r="L4" i="1"/>
  <c r="J70" i="1" l="1"/>
  <c r="J85" i="1"/>
  <c r="K99" i="1"/>
  <c r="J22" i="1"/>
  <c r="M6" i="1"/>
  <c r="M34" i="1" s="1"/>
  <c r="L5" i="1"/>
  <c r="M4" i="1"/>
  <c r="K70" i="1" l="1"/>
  <c r="K85" i="1"/>
  <c r="L99" i="1"/>
  <c r="K22" i="1"/>
  <c r="N6" i="1"/>
  <c r="N34" i="1" s="1"/>
  <c r="M5" i="1"/>
  <c r="N4" i="1"/>
  <c r="L70" i="1" l="1"/>
  <c r="L85" i="1"/>
  <c r="M99" i="1"/>
  <c r="L22" i="1"/>
  <c r="O6" i="1"/>
  <c r="O34" i="1" s="1"/>
  <c r="N5" i="1"/>
  <c r="O4" i="1"/>
  <c r="M70" i="1" l="1"/>
  <c r="M85" i="1"/>
  <c r="N99" i="1"/>
  <c r="M22" i="1"/>
  <c r="P6" i="1"/>
  <c r="P34" i="1" s="1"/>
  <c r="O5" i="1"/>
  <c r="P4" i="1"/>
  <c r="N70" i="1" l="1"/>
  <c r="N85" i="1"/>
  <c r="O99" i="1"/>
  <c r="N22" i="1"/>
  <c r="Q6" i="1"/>
  <c r="Q34" i="1" s="1"/>
  <c r="P5" i="1"/>
  <c r="Q4" i="1"/>
  <c r="O70" i="1" l="1"/>
  <c r="O85" i="1"/>
  <c r="P99" i="1"/>
  <c r="O22" i="1"/>
  <c r="R6" i="1"/>
  <c r="R34" i="1" s="1"/>
  <c r="Q5" i="1"/>
  <c r="R4" i="1"/>
  <c r="P70" i="1" l="1"/>
  <c r="P85" i="1"/>
  <c r="Q99" i="1"/>
  <c r="P22" i="1"/>
  <c r="S6" i="1"/>
  <c r="S34" i="1" s="1"/>
  <c r="S4" i="1"/>
  <c r="R5" i="1"/>
  <c r="Q70" i="1" l="1"/>
  <c r="Q85" i="1"/>
  <c r="R99" i="1"/>
  <c r="Q22" i="1"/>
  <c r="T6" i="1"/>
  <c r="T34" i="1" s="1"/>
  <c r="S5" i="1"/>
  <c r="T4" i="1"/>
  <c r="R70" i="1" l="1"/>
  <c r="R85" i="1"/>
  <c r="S99" i="1"/>
  <c r="R22" i="1"/>
  <c r="U6" i="1"/>
  <c r="U34" i="1" s="1"/>
  <c r="T5" i="1"/>
  <c r="U4" i="1"/>
  <c r="S70" i="1" l="1"/>
  <c r="S85" i="1"/>
  <c r="T99" i="1"/>
  <c r="S22" i="1"/>
  <c r="V6" i="1"/>
  <c r="V34" i="1" s="1"/>
  <c r="U5" i="1"/>
  <c r="V4" i="1"/>
  <c r="T70" i="1" l="1"/>
  <c r="T85" i="1"/>
  <c r="U99" i="1"/>
  <c r="T22" i="1"/>
  <c r="W6" i="1"/>
  <c r="W34" i="1" s="1"/>
  <c r="V5" i="1"/>
  <c r="W4" i="1"/>
  <c r="U70" i="1" l="1"/>
  <c r="U85" i="1"/>
  <c r="V99" i="1"/>
  <c r="U22" i="1"/>
  <c r="X6" i="1"/>
  <c r="X34" i="1" s="1"/>
  <c r="W5" i="1"/>
  <c r="X4" i="1"/>
  <c r="V70" i="1" l="1"/>
  <c r="V85" i="1"/>
  <c r="W99" i="1"/>
  <c r="V22" i="1"/>
  <c r="Y6" i="1"/>
  <c r="Y34" i="1" s="1"/>
  <c r="X5" i="1"/>
  <c r="Y4" i="1"/>
  <c r="W70" i="1" l="1"/>
  <c r="W85" i="1"/>
  <c r="X99" i="1"/>
  <c r="W22" i="1"/>
  <c r="Y5" i="1"/>
  <c r="X70" i="1" l="1"/>
  <c r="X85" i="1"/>
  <c r="Y99" i="1"/>
  <c r="Y85" i="1" s="1"/>
  <c r="X22" i="1"/>
  <c r="Y22" i="1" l="1"/>
  <c r="Y70" i="1"/>
  <c r="D17" i="2" l="1"/>
  <c r="D14" i="2"/>
  <c r="E14" i="2" l="1"/>
  <c r="E21" i="1" s="1"/>
  <c r="L21" i="1" s="1"/>
  <c r="D22" i="2"/>
  <c r="E20" i="1" s="1"/>
  <c r="E29" i="1" s="1"/>
  <c r="D24" i="2" l="1"/>
  <c r="C30" i="2"/>
  <c r="E19" i="1" s="1"/>
  <c r="E60" i="1"/>
  <c r="E63" i="1" s="1"/>
  <c r="V21" i="1"/>
  <c r="J21" i="1"/>
  <c r="I21" i="1"/>
  <c r="R21" i="1"/>
  <c r="W21" i="1"/>
  <c r="U21" i="1"/>
  <c r="H21" i="1"/>
  <c r="Q21" i="1"/>
  <c r="P21" i="1"/>
  <c r="F21" i="1"/>
  <c r="N21" i="1"/>
  <c r="Y21" i="1"/>
  <c r="X21" i="1"/>
  <c r="T21" i="1"/>
  <c r="O21" i="1"/>
  <c r="K21" i="1"/>
  <c r="S21" i="1"/>
  <c r="G21" i="1"/>
  <c r="M21" i="1"/>
  <c r="E66" i="1" l="1"/>
  <c r="E45" i="1" s="1"/>
  <c r="E46" i="1" s="1"/>
  <c r="P19" i="1"/>
  <c r="S19" i="1"/>
  <c r="W19" i="1"/>
  <c r="T19" i="1"/>
  <c r="O19" i="1"/>
  <c r="M19" i="1"/>
  <c r="L19" i="1"/>
  <c r="H19" i="1"/>
  <c r="R19" i="1"/>
  <c r="Q19" i="1"/>
  <c r="G19" i="1"/>
  <c r="V19" i="1"/>
  <c r="F19" i="1"/>
  <c r="J19" i="1"/>
  <c r="Y19" i="1"/>
  <c r="K19" i="1"/>
  <c r="X19" i="1"/>
  <c r="U19" i="1"/>
  <c r="N19" i="1"/>
  <c r="I19" i="1"/>
  <c r="K20" i="1"/>
  <c r="W20" i="1"/>
  <c r="R20" i="1"/>
  <c r="S20" i="1"/>
  <c r="L20" i="1"/>
  <c r="X20" i="1"/>
  <c r="N20" i="1"/>
  <c r="O20" i="1"/>
  <c r="F20" i="1"/>
  <c r="G20" i="1"/>
  <c r="M20" i="1"/>
  <c r="Y20" i="1"/>
  <c r="H20" i="1"/>
  <c r="T20" i="1"/>
  <c r="I20" i="1"/>
  <c r="U20" i="1"/>
  <c r="J20" i="1"/>
  <c r="V20" i="1"/>
  <c r="P20" i="1"/>
  <c r="Q20" i="1"/>
  <c r="E23" i="1"/>
  <c r="E24" i="1" s="1"/>
  <c r="E68" i="1" l="1"/>
  <c r="E71" i="1"/>
  <c r="E27" i="1"/>
  <c r="E92" i="1" s="1"/>
  <c r="E26" i="1"/>
  <c r="F29" i="1"/>
  <c r="F23" i="1"/>
  <c r="F24" i="1" s="1"/>
  <c r="I23" i="1"/>
  <c r="I24" i="1" s="1"/>
  <c r="U23" i="1"/>
  <c r="U24" i="1" s="1"/>
  <c r="V23" i="1"/>
  <c r="V24" i="1" s="1"/>
  <c r="K23" i="1"/>
  <c r="K24" i="1" s="1"/>
  <c r="G23" i="1"/>
  <c r="G24" i="1" s="1"/>
  <c r="J23" i="1"/>
  <c r="J24" i="1" s="1"/>
  <c r="T23" i="1"/>
  <c r="T24" i="1" s="1"/>
  <c r="W23" i="1"/>
  <c r="W24" i="1" s="1"/>
  <c r="L23" i="1"/>
  <c r="L24" i="1" s="1"/>
  <c r="X23" i="1"/>
  <c r="X24" i="1" s="1"/>
  <c r="Q23" i="1"/>
  <c r="Q24" i="1" s="1"/>
  <c r="S23" i="1"/>
  <c r="S24" i="1" s="1"/>
  <c r="M23" i="1"/>
  <c r="M24" i="1" s="1"/>
  <c r="Y23" i="1"/>
  <c r="Y24" i="1" s="1"/>
  <c r="N23" i="1"/>
  <c r="N24" i="1" s="1"/>
  <c r="O23" i="1"/>
  <c r="O24" i="1" s="1"/>
  <c r="P23" i="1"/>
  <c r="P24" i="1" s="1"/>
  <c r="R23" i="1"/>
  <c r="R24" i="1" s="1"/>
  <c r="H23" i="1"/>
  <c r="H24" i="1" s="1"/>
  <c r="E74" i="1" l="1"/>
  <c r="E79" i="1" s="1"/>
  <c r="F60" i="1"/>
  <c r="F26" i="1"/>
  <c r="F42" i="1"/>
  <c r="E80" i="1" l="1"/>
  <c r="E81" i="1" s="1"/>
  <c r="E83" i="1" s="1"/>
  <c r="E93" i="1" s="1"/>
  <c r="F65" i="1"/>
  <c r="E96" i="1" l="1"/>
  <c r="E94" i="1"/>
  <c r="E103" i="1"/>
  <c r="F78" i="1"/>
  <c r="E56" i="1" l="1"/>
  <c r="F48" i="1" l="1"/>
  <c r="F61" i="1" l="1"/>
  <c r="F63" i="1" s="1"/>
  <c r="F66" i="1" l="1"/>
  <c r="F45" i="1" s="1"/>
  <c r="F68" i="1" l="1"/>
  <c r="F71" i="1"/>
  <c r="F74" i="1" l="1"/>
  <c r="F72" i="1"/>
  <c r="F79" i="1" l="1"/>
  <c r="F80" i="1" l="1"/>
  <c r="F81" i="1" s="1"/>
  <c r="E84" i="1" l="1"/>
  <c r="E86" i="1" s="1"/>
  <c r="F89" i="1" s="1"/>
  <c r="F90" i="1" s="1"/>
  <c r="F12" i="1" s="1"/>
  <c r="F35" i="1" s="1"/>
  <c r="F36" i="1" s="1"/>
  <c r="G33" i="1" s="1"/>
  <c r="F13" i="1" l="1"/>
  <c r="G11" i="1" s="1"/>
  <c r="F50" i="1"/>
  <c r="F53" i="1" s="1"/>
  <c r="F82" i="1"/>
  <c r="F51" i="1" s="1"/>
  <c r="F39" i="1"/>
  <c r="F40" i="1" s="1"/>
  <c r="F83" i="1" l="1"/>
  <c r="G78" i="1" s="1"/>
  <c r="F103" i="1"/>
  <c r="G38" i="1"/>
  <c r="F44" i="1"/>
  <c r="F46" i="1" s="1"/>
  <c r="G48" i="1"/>
  <c r="F56" i="1"/>
  <c r="F16" i="1" s="1"/>
  <c r="F17" i="1" s="1"/>
  <c r="F102" i="1" l="1"/>
  <c r="G61" i="1"/>
  <c r="G43" i="1"/>
  <c r="G49" i="1" s="1"/>
  <c r="G15" i="1"/>
  <c r="F27" i="1"/>
  <c r="F54" i="1" l="1"/>
  <c r="G52" i="1" s="1"/>
  <c r="G62" i="1" s="1"/>
  <c r="F93" i="1"/>
  <c r="F92" i="1"/>
  <c r="G42" i="1"/>
  <c r="G29" i="1"/>
  <c r="G26" i="1"/>
  <c r="G65" i="1" l="1"/>
  <c r="F94" i="1"/>
  <c r="F95" i="1" s="1"/>
  <c r="F96" i="1"/>
  <c r="F97" i="1" s="1"/>
  <c r="G60" i="1"/>
  <c r="G63" i="1" s="1"/>
  <c r="G66" i="1" l="1"/>
  <c r="G45" i="1" s="1"/>
  <c r="G68" i="1" l="1"/>
  <c r="G71" i="1"/>
  <c r="G72" i="1" s="1"/>
  <c r="G74" i="1" l="1"/>
  <c r="G79" i="1" s="1"/>
  <c r="G80" i="1" l="1"/>
  <c r="G81" i="1" s="1"/>
  <c r="F84" i="1" l="1"/>
  <c r="F86" i="1" s="1"/>
  <c r="G89" i="1" s="1"/>
  <c r="G90" i="1" s="1"/>
  <c r="G12" i="1" s="1"/>
  <c r="G82" i="1" l="1"/>
  <c r="G13" i="1"/>
  <c r="G35" i="1"/>
  <c r="G50" i="1"/>
  <c r="G83" i="1" l="1"/>
  <c r="H78" i="1" s="1"/>
  <c r="G51" i="1"/>
  <c r="G53" i="1" s="1"/>
  <c r="G44" i="1"/>
  <c r="G46" i="1" s="1"/>
  <c r="G56" i="1"/>
  <c r="G16" i="1" s="1"/>
  <c r="G17" i="1" s="1"/>
  <c r="G36" i="1"/>
  <c r="H33" i="1" s="1"/>
  <c r="G39" i="1"/>
  <c r="H11" i="1"/>
  <c r="G103" i="1" l="1"/>
  <c r="G102" i="1"/>
  <c r="G40" i="1"/>
  <c r="H43" i="1"/>
  <c r="H49" i="1" s="1"/>
  <c r="H42" i="1"/>
  <c r="H15" i="1"/>
  <c r="G27" i="1"/>
  <c r="H48" i="1"/>
  <c r="G92" i="1" l="1"/>
  <c r="G93" i="1"/>
  <c r="H61" i="1"/>
  <c r="G55" i="1"/>
  <c r="G54" i="1"/>
  <c r="H52" i="1" s="1"/>
  <c r="H62" i="1" s="1"/>
  <c r="H29" i="1"/>
  <c r="H26" i="1"/>
  <c r="H38" i="1"/>
  <c r="H65" i="1"/>
  <c r="G94" i="1" l="1"/>
  <c r="G95" i="1" s="1"/>
  <c r="G96" i="1"/>
  <c r="G97" i="1" s="1"/>
  <c r="H60" i="1"/>
  <c r="H63" i="1" s="1"/>
  <c r="H66" i="1" l="1"/>
  <c r="H45" i="1" s="1"/>
  <c r="H71" i="1" l="1"/>
  <c r="H72" i="1" s="1"/>
  <c r="H68" i="1"/>
  <c r="H74" i="1" l="1"/>
  <c r="H79" i="1" s="1"/>
  <c r="H80" i="1" l="1"/>
  <c r="H81" i="1" s="1"/>
  <c r="G84" i="1" s="1"/>
  <c r="G86" i="1" s="1"/>
  <c r="H89" i="1" s="1"/>
  <c r="H90" i="1" s="1"/>
  <c r="H12" i="1" s="1"/>
  <c r="H82" i="1" l="1"/>
  <c r="H13" i="1"/>
  <c r="H35" i="1"/>
  <c r="H36" i="1" s="1"/>
  <c r="I33" i="1" s="1"/>
  <c r="H50" i="1"/>
  <c r="H56" i="1" s="1"/>
  <c r="H83" i="1" l="1"/>
  <c r="I78" i="1" s="1"/>
  <c r="H51" i="1"/>
  <c r="H53" i="1" s="1"/>
  <c r="H44" i="1"/>
  <c r="H46" i="1" s="1"/>
  <c r="H39" i="1"/>
  <c r="I11" i="1"/>
  <c r="H16" i="1"/>
  <c r="H17" i="1" s="1"/>
  <c r="H103" i="1" l="1"/>
  <c r="H102" i="1"/>
  <c r="I48" i="1"/>
  <c r="I61" i="1" s="1"/>
  <c r="H40" i="1"/>
  <c r="I43" i="1"/>
  <c r="H27" i="1"/>
  <c r="I15" i="1"/>
  <c r="H92" i="1" l="1"/>
  <c r="H93" i="1"/>
  <c r="I38" i="1"/>
  <c r="H55" i="1"/>
  <c r="H54" i="1"/>
  <c r="I52" i="1" s="1"/>
  <c r="I62" i="1" s="1"/>
  <c r="I42" i="1"/>
  <c r="I26" i="1"/>
  <c r="I29" i="1"/>
  <c r="I49" i="1"/>
  <c r="H94" i="1" l="1"/>
  <c r="H95" i="1" s="1"/>
  <c r="H96" i="1"/>
  <c r="H97" i="1" s="1"/>
  <c r="I60" i="1"/>
  <c r="I63" i="1" s="1"/>
  <c r="I65" i="1"/>
  <c r="I66" i="1" l="1"/>
  <c r="I45" i="1" s="1"/>
  <c r="I68" i="1" l="1"/>
  <c r="I71" i="1"/>
  <c r="I74" i="1" l="1"/>
  <c r="I72" i="1"/>
  <c r="I79" i="1" l="1"/>
  <c r="I80" i="1" s="1"/>
  <c r="I81" i="1" l="1"/>
  <c r="H84" i="1" s="1"/>
  <c r="H86" i="1" s="1"/>
  <c r="I89" i="1" l="1"/>
  <c r="I90" i="1" s="1"/>
  <c r="I12" i="1" s="1"/>
  <c r="I50" i="1" l="1"/>
  <c r="I56" i="1" s="1"/>
  <c r="I16" i="1" s="1"/>
  <c r="I17" i="1" s="1"/>
  <c r="I35" i="1"/>
  <c r="I13" i="1"/>
  <c r="J11" i="1" s="1"/>
  <c r="I82" i="1"/>
  <c r="I51" i="1" s="1"/>
  <c r="I53" i="1" s="1"/>
  <c r="J48" i="1" s="1"/>
  <c r="J61" i="1" s="1"/>
  <c r="I83" i="1" l="1"/>
  <c r="J78" i="1" s="1"/>
  <c r="I44" i="1"/>
  <c r="I39" i="1"/>
  <c r="I36" i="1"/>
  <c r="J33" i="1" s="1"/>
  <c r="I27" i="1"/>
  <c r="J15" i="1"/>
  <c r="I103" i="1" l="1"/>
  <c r="J26" i="1"/>
  <c r="J29" i="1"/>
  <c r="J60" i="1" s="1"/>
  <c r="I55" i="1"/>
  <c r="I92" i="1"/>
  <c r="I46" i="1"/>
  <c r="J42" i="1" s="1"/>
  <c r="J65" i="1" s="1"/>
  <c r="J43" i="1"/>
  <c r="J49" i="1"/>
  <c r="I40" i="1"/>
  <c r="J38" i="1" s="1"/>
  <c r="I102" i="1"/>
  <c r="I54" i="1"/>
  <c r="J52" i="1" s="1"/>
  <c r="J62" i="1" s="1"/>
  <c r="J63" i="1" l="1"/>
  <c r="J66" i="1" s="1"/>
  <c r="J45" i="1" s="1"/>
  <c r="I93" i="1"/>
  <c r="J68" i="1" l="1"/>
  <c r="J71" i="1"/>
  <c r="J72" i="1" s="1"/>
  <c r="I94" i="1"/>
  <c r="I95" i="1" s="1"/>
  <c r="I96" i="1"/>
  <c r="I97" i="1" s="1"/>
  <c r="J74" i="1"/>
  <c r="J79" i="1" s="1"/>
  <c r="J80" i="1" l="1"/>
  <c r="J81" i="1" s="1"/>
  <c r="I84" i="1" s="1"/>
  <c r="I86" i="1" s="1"/>
  <c r="J89" i="1" l="1"/>
  <c r="J90" i="1" s="1"/>
  <c r="J12" i="1" s="1"/>
  <c r="J82" i="1" l="1"/>
  <c r="J13" i="1"/>
  <c r="J35" i="1"/>
  <c r="J39" i="1" s="1"/>
  <c r="J50" i="1"/>
  <c r="J83" i="1" l="1"/>
  <c r="K78" i="1" s="1"/>
  <c r="J44" i="1"/>
  <c r="J46" i="1" s="1"/>
  <c r="J51" i="1"/>
  <c r="J53" i="1" s="1"/>
  <c r="J56" i="1"/>
  <c r="J16" i="1" s="1"/>
  <c r="J17" i="1" s="1"/>
  <c r="K15" i="1" s="1"/>
  <c r="J36" i="1"/>
  <c r="K33" i="1" s="1"/>
  <c r="K11" i="1"/>
  <c r="J40" i="1"/>
  <c r="J103" i="1" l="1"/>
  <c r="K42" i="1"/>
  <c r="K43" i="1"/>
  <c r="K49" i="1" s="1"/>
  <c r="J102" i="1"/>
  <c r="J27" i="1"/>
  <c r="K48" i="1"/>
  <c r="J55" i="1"/>
  <c r="K26" i="1"/>
  <c r="K29" i="1"/>
  <c r="K38" i="1"/>
  <c r="J54" i="1" l="1"/>
  <c r="K52" i="1" s="1"/>
  <c r="K62" i="1" s="1"/>
  <c r="J92" i="1"/>
  <c r="J93" i="1"/>
  <c r="K60" i="1"/>
  <c r="K61" i="1"/>
  <c r="K65" i="1"/>
  <c r="J94" i="1" l="1"/>
  <c r="J95" i="1" s="1"/>
  <c r="J96" i="1"/>
  <c r="J97" i="1" s="1"/>
  <c r="K63" i="1"/>
  <c r="K66" i="1" l="1"/>
  <c r="K45" i="1" s="1"/>
  <c r="K68" i="1" l="1"/>
  <c r="K71" i="1"/>
  <c r="K72" i="1" s="1"/>
  <c r="K74" i="1" l="1"/>
  <c r="K79" i="1" s="1"/>
  <c r="K80" i="1" l="1"/>
  <c r="K81" i="1" s="1"/>
  <c r="J84" i="1" s="1"/>
  <c r="J86" i="1" s="1"/>
  <c r="K89" i="1" l="1"/>
  <c r="K90" i="1" s="1"/>
  <c r="K12" i="1" s="1"/>
  <c r="K82" i="1" s="1"/>
  <c r="K51" i="1" s="1"/>
  <c r="K83" i="1" l="1"/>
  <c r="L78" i="1" s="1"/>
  <c r="K35" i="1"/>
  <c r="K50" i="1"/>
  <c r="K13" i="1"/>
  <c r="L11" i="1" s="1"/>
  <c r="K103" i="1" l="1"/>
  <c r="K53" i="1"/>
  <c r="L48" i="1" s="1"/>
  <c r="L61" i="1" s="1"/>
  <c r="K56" i="1"/>
  <c r="K16" i="1" s="1"/>
  <c r="K17" i="1" s="1"/>
  <c r="K39" i="1"/>
  <c r="K40" i="1" s="1"/>
  <c r="L38" i="1" s="1"/>
  <c r="K36" i="1"/>
  <c r="L33" i="1" s="1"/>
  <c r="K44" i="1"/>
  <c r="K46" i="1" s="1"/>
  <c r="L15" i="1" l="1"/>
  <c r="K27" i="1"/>
  <c r="K102" i="1"/>
  <c r="L42" i="1"/>
  <c r="L65" i="1" s="1"/>
  <c r="L43" i="1"/>
  <c r="L49" i="1" s="1"/>
  <c r="L29" i="1" l="1"/>
  <c r="L60" i="1" s="1"/>
  <c r="L26" i="1"/>
  <c r="K92" i="1"/>
  <c r="K54" i="1"/>
  <c r="L52" i="1" s="1"/>
  <c r="L62" i="1" s="1"/>
  <c r="K93" i="1"/>
  <c r="K55" i="1"/>
  <c r="K94" i="1" l="1"/>
  <c r="K95" i="1" s="1"/>
  <c r="K96" i="1"/>
  <c r="K97" i="1" s="1"/>
  <c r="L63" i="1"/>
  <c r="L66" i="1" s="1"/>
  <c r="L45" i="1" s="1"/>
  <c r="L71" i="1" l="1"/>
  <c r="L72" i="1" s="1"/>
  <c r="L68" i="1"/>
  <c r="L74" i="1" l="1"/>
  <c r="L79" i="1" s="1"/>
  <c r="L80" i="1" l="1"/>
  <c r="L81" i="1" s="1"/>
  <c r="K84" i="1" l="1"/>
  <c r="K86" i="1" s="1"/>
  <c r="L89" i="1" s="1"/>
  <c r="L90" i="1" s="1"/>
  <c r="L12" i="1" s="1"/>
  <c r="L35" i="1" s="1"/>
  <c r="L39" i="1" s="1"/>
  <c r="L50" i="1" l="1"/>
  <c r="L56" i="1" s="1"/>
  <c r="L16" i="1" s="1"/>
  <c r="L17" i="1" s="1"/>
  <c r="L27" i="1" s="1"/>
  <c r="L13" i="1"/>
  <c r="M11" i="1" s="1"/>
  <c r="L82" i="1"/>
  <c r="L51" i="1" s="1"/>
  <c r="L83" i="1"/>
  <c r="M78" i="1" s="1"/>
  <c r="L36" i="1"/>
  <c r="M33" i="1" s="1"/>
  <c r="L40" i="1"/>
  <c r="M15" i="1" l="1"/>
  <c r="L44" i="1"/>
  <c r="L46" i="1" s="1"/>
  <c r="L53" i="1"/>
  <c r="L93" i="1" s="1"/>
  <c r="L103" i="1"/>
  <c r="L92" i="1"/>
  <c r="M48" i="1"/>
  <c r="M61" i="1" s="1"/>
  <c r="L102" i="1"/>
  <c r="L55" i="1"/>
  <c r="M38" i="1"/>
  <c r="M26" i="1"/>
  <c r="M29" i="1"/>
  <c r="L54" i="1"/>
  <c r="M43" i="1" l="1"/>
  <c r="M49" i="1" s="1"/>
  <c r="M52" i="1"/>
  <c r="M62" i="1" s="1"/>
  <c r="L94" i="1"/>
  <c r="L95" i="1" s="1"/>
  <c r="L96" i="1"/>
  <c r="L97" i="1" s="1"/>
  <c r="M60" i="1"/>
  <c r="M42" i="1"/>
  <c r="M63" i="1" l="1"/>
  <c r="M65" i="1"/>
  <c r="M66" i="1" l="1"/>
  <c r="M45" i="1" s="1"/>
  <c r="M68" i="1" l="1"/>
  <c r="M71" i="1"/>
  <c r="M72" i="1" s="1"/>
  <c r="M74" i="1" l="1"/>
  <c r="M79" i="1" s="1"/>
  <c r="M80" i="1" l="1"/>
  <c r="M81" i="1" s="1"/>
  <c r="L84" i="1" l="1"/>
  <c r="L86" i="1" s="1"/>
  <c r="M89" i="1" s="1"/>
  <c r="M90" i="1" s="1"/>
  <c r="M12" i="1" s="1"/>
  <c r="M50" i="1" s="1"/>
  <c r="M56" i="1" s="1"/>
  <c r="M16" i="1" s="1"/>
  <c r="M17" i="1" s="1"/>
  <c r="M82" i="1"/>
  <c r="M13" i="1"/>
  <c r="N11" i="1" s="1"/>
  <c r="M35" i="1"/>
  <c r="M39" i="1" s="1"/>
  <c r="M36" i="1" l="1"/>
  <c r="N33" i="1" s="1"/>
  <c r="M83" i="1"/>
  <c r="N78" i="1" s="1"/>
  <c r="M44" i="1"/>
  <c r="M46" i="1" s="1"/>
  <c r="M51" i="1"/>
  <c r="M53" i="1" s="1"/>
  <c r="M27" i="1"/>
  <c r="N15" i="1"/>
  <c r="M40" i="1"/>
  <c r="M103" i="1" l="1"/>
  <c r="M92" i="1"/>
  <c r="M102" i="1"/>
  <c r="N48" i="1"/>
  <c r="N61" i="1" s="1"/>
  <c r="M55" i="1"/>
  <c r="N43" i="1"/>
  <c r="M93" i="1"/>
  <c r="N29" i="1"/>
  <c r="N26" i="1"/>
  <c r="N38" i="1"/>
  <c r="M54" i="1"/>
  <c r="N52" i="1" l="1"/>
  <c r="N62" i="1" s="1"/>
  <c r="M94" i="1"/>
  <c r="M95" i="1" s="1"/>
  <c r="M96" i="1"/>
  <c r="M97" i="1" s="1"/>
  <c r="N60" i="1"/>
  <c r="N42" i="1"/>
  <c r="N49" i="1"/>
  <c r="N63" i="1" l="1"/>
  <c r="N65" i="1"/>
  <c r="N66" i="1" l="1"/>
  <c r="N45" i="1" s="1"/>
  <c r="N71" i="1" l="1"/>
  <c r="N72" i="1" s="1"/>
  <c r="N68" i="1"/>
  <c r="N74" i="1" l="1"/>
  <c r="N79" i="1" s="1"/>
  <c r="N80" i="1" l="1"/>
  <c r="N81" i="1" s="1"/>
  <c r="M84" i="1" l="1"/>
  <c r="M86" i="1" s="1"/>
  <c r="N89" i="1" s="1"/>
  <c r="N90" i="1" s="1"/>
  <c r="N12" i="1" s="1"/>
  <c r="N50" i="1" s="1"/>
  <c r="N56" i="1" s="1"/>
  <c r="N16" i="1" s="1"/>
  <c r="N17" i="1" s="1"/>
  <c r="N13" i="1" l="1"/>
  <c r="O11" i="1" s="1"/>
  <c r="N35" i="1"/>
  <c r="N82" i="1"/>
  <c r="N83" i="1" s="1"/>
  <c r="O78" i="1" s="1"/>
  <c r="N44" i="1"/>
  <c r="N46" i="1" s="1"/>
  <c r="N39" i="1"/>
  <c r="N40" i="1" s="1"/>
  <c r="N36" i="1"/>
  <c r="O33" i="1" s="1"/>
  <c r="N51" i="1"/>
  <c r="N53" i="1" s="1"/>
  <c r="O48" i="1" s="1"/>
  <c r="N103" i="1"/>
  <c r="O15" i="1"/>
  <c r="N27" i="1"/>
  <c r="N102" i="1" l="1"/>
  <c r="N55" i="1"/>
  <c r="N92" i="1"/>
  <c r="O26" i="1"/>
  <c r="O29" i="1"/>
  <c r="O43" i="1"/>
  <c r="N93" i="1"/>
  <c r="N54" i="1"/>
  <c r="O52" i="1" s="1"/>
  <c r="O62" i="1" s="1"/>
  <c r="O38" i="1"/>
  <c r="O61" i="1"/>
  <c r="N94" i="1" l="1"/>
  <c r="N95" i="1" s="1"/>
  <c r="N96" i="1"/>
  <c r="N97" i="1" s="1"/>
  <c r="O60" i="1"/>
  <c r="O63" i="1" s="1"/>
  <c r="O42" i="1"/>
  <c r="O49" i="1"/>
  <c r="O65" i="1" l="1"/>
  <c r="O66" i="1" l="1"/>
  <c r="O45" i="1" s="1"/>
  <c r="O68" i="1" l="1"/>
  <c r="O71" i="1"/>
  <c r="O74" i="1" l="1"/>
  <c r="O72" i="1"/>
  <c r="O79" i="1" l="1"/>
  <c r="O80" i="1" l="1"/>
  <c r="O81" i="1" s="1"/>
  <c r="N84" i="1" s="1"/>
  <c r="N86" i="1" s="1"/>
  <c r="O89" i="1" s="1"/>
  <c r="O90" i="1" s="1"/>
  <c r="O12" i="1" s="1"/>
  <c r="O82" i="1" l="1"/>
  <c r="O35" i="1"/>
  <c r="O39" i="1" s="1"/>
  <c r="O13" i="1"/>
  <c r="P11" i="1" s="1"/>
  <c r="O50" i="1"/>
  <c r="O56" i="1" s="1"/>
  <c r="O16" i="1" s="1"/>
  <c r="O17" i="1" s="1"/>
  <c r="O36" i="1" l="1"/>
  <c r="P33" i="1" s="1"/>
  <c r="O83" i="1"/>
  <c r="P78" i="1" s="1"/>
  <c r="O44" i="1"/>
  <c r="O46" i="1" s="1"/>
  <c r="O51" i="1"/>
  <c r="O53" i="1" s="1"/>
  <c r="O27" i="1"/>
  <c r="P15" i="1"/>
  <c r="O40" i="1"/>
  <c r="O103" i="1" l="1"/>
  <c r="O92" i="1"/>
  <c r="O102" i="1"/>
  <c r="P48" i="1"/>
  <c r="P61" i="1" s="1"/>
  <c r="O55" i="1"/>
  <c r="P26" i="1"/>
  <c r="P29" i="1"/>
  <c r="P38" i="1"/>
  <c r="P43" i="1"/>
  <c r="O93" i="1"/>
  <c r="O54" i="1"/>
  <c r="P52" i="1" s="1"/>
  <c r="P62" i="1" s="1"/>
  <c r="O94" i="1" l="1"/>
  <c r="O95" i="1" s="1"/>
  <c r="O96" i="1"/>
  <c r="O97" i="1" s="1"/>
  <c r="P60" i="1"/>
  <c r="P63" i="1" s="1"/>
  <c r="P42" i="1"/>
  <c r="P49" i="1"/>
  <c r="P65" i="1" l="1"/>
  <c r="P66" i="1" l="1"/>
  <c r="P68" i="1" s="1"/>
  <c r="P45" i="1" l="1"/>
  <c r="P71" i="1"/>
  <c r="P74" i="1" s="1"/>
  <c r="P72" i="1" l="1"/>
  <c r="P79" i="1" s="1"/>
  <c r="P80" i="1" l="1"/>
  <c r="P81" i="1" l="1"/>
  <c r="O84" i="1" s="1"/>
  <c r="O86" i="1" s="1"/>
  <c r="P89" i="1" s="1"/>
  <c r="P90" i="1" s="1"/>
  <c r="P12" i="1" s="1"/>
  <c r="P82" i="1" l="1"/>
  <c r="P35" i="1"/>
  <c r="P39" i="1" s="1"/>
  <c r="P13" i="1"/>
  <c r="Q11" i="1" s="1"/>
  <c r="P50" i="1"/>
  <c r="P83" i="1" l="1"/>
  <c r="Q78" i="1" s="1"/>
  <c r="P51" i="1"/>
  <c r="P53" i="1" s="1"/>
  <c r="P44" i="1"/>
  <c r="P46" i="1" s="1"/>
  <c r="P56" i="1"/>
  <c r="P16" i="1" s="1"/>
  <c r="P17" i="1" s="1"/>
  <c r="P27" i="1" s="1"/>
  <c r="P92" i="1" s="1"/>
  <c r="P36" i="1"/>
  <c r="Q33" i="1" s="1"/>
  <c r="P40" i="1"/>
  <c r="P103" i="1" l="1"/>
  <c r="Q15" i="1"/>
  <c r="Q26" i="1" s="1"/>
  <c r="P102" i="1"/>
  <c r="Q48" i="1"/>
  <c r="P55" i="1"/>
  <c r="P54" i="1"/>
  <c r="Q38" i="1"/>
  <c r="Q43" i="1"/>
  <c r="P93" i="1"/>
  <c r="Q61" i="1"/>
  <c r="P94" i="1" l="1"/>
  <c r="P95" i="1" s="1"/>
  <c r="P96" i="1"/>
  <c r="P97" i="1" s="1"/>
  <c r="Q29" i="1"/>
  <c r="Q60" i="1" s="1"/>
  <c r="Q52" i="1"/>
  <c r="Q62" i="1" s="1"/>
  <c r="Q42" i="1"/>
  <c r="Q49" i="1"/>
  <c r="Q63" i="1" l="1"/>
  <c r="Q65" i="1"/>
  <c r="Q66" i="1" l="1"/>
  <c r="Q45" i="1" s="1"/>
  <c r="Q68" i="1" l="1"/>
  <c r="Q71" i="1"/>
  <c r="Q74" i="1" l="1"/>
  <c r="Q72" i="1"/>
  <c r="Q79" i="1" l="1"/>
  <c r="Q80" i="1" l="1"/>
  <c r="Q81" i="1" s="1"/>
  <c r="P84" i="1" l="1"/>
  <c r="P86" i="1" s="1"/>
  <c r="Q89" i="1" l="1"/>
  <c r="Q90" i="1" s="1"/>
  <c r="Q12" i="1" s="1"/>
  <c r="Q82" i="1" s="1"/>
  <c r="Q83" i="1" l="1"/>
  <c r="R78" i="1" s="1"/>
  <c r="Q103" i="1"/>
  <c r="Q35" i="1"/>
  <c r="Q50" i="1"/>
  <c r="Q56" i="1" s="1"/>
  <c r="Q16" i="1" s="1"/>
  <c r="Q17" i="1" s="1"/>
  <c r="Q13" i="1"/>
  <c r="R11" i="1" s="1"/>
  <c r="Q51" i="1"/>
  <c r="Q53" i="1" s="1"/>
  <c r="Q44" i="1" l="1"/>
  <c r="R43" i="1" s="1"/>
  <c r="Q46" i="1"/>
  <c r="R42" i="1" s="1"/>
  <c r="R48" i="1"/>
  <c r="R61" i="1" s="1"/>
  <c r="Q27" i="1"/>
  <c r="Q54" i="1" s="1"/>
  <c r="R52" i="1" s="1"/>
  <c r="R62" i="1" s="1"/>
  <c r="R15" i="1"/>
  <c r="Q39" i="1"/>
  <c r="Q36" i="1"/>
  <c r="R33" i="1" s="1"/>
  <c r="R65" i="1"/>
  <c r="R49" i="1" l="1"/>
  <c r="Q40" i="1"/>
  <c r="R38" i="1" s="1"/>
  <c r="Q102" i="1"/>
  <c r="R29" i="1"/>
  <c r="R60" i="1" s="1"/>
  <c r="R63" i="1" s="1"/>
  <c r="R26" i="1"/>
  <c r="Q92" i="1"/>
  <c r="Q55" i="1"/>
  <c r="Q93" i="1"/>
  <c r="R66" i="1"/>
  <c r="R45" i="1" s="1"/>
  <c r="R71" i="1" l="1"/>
  <c r="R68" i="1"/>
  <c r="Q94" i="1"/>
  <c r="Q95" i="1" s="1"/>
  <c r="Q96" i="1"/>
  <c r="Q97" i="1" s="1"/>
  <c r="R74" i="1"/>
  <c r="R72" i="1"/>
  <c r="R79" i="1" l="1"/>
  <c r="R80" i="1" l="1"/>
  <c r="R81" i="1" s="1"/>
  <c r="Q84" i="1" s="1"/>
  <c r="Q86" i="1" s="1"/>
  <c r="R89" i="1" s="1"/>
  <c r="R90" i="1" s="1"/>
  <c r="R12" i="1" s="1"/>
  <c r="R50" i="1" l="1"/>
  <c r="R82" i="1"/>
  <c r="R13" i="1"/>
  <c r="S11" i="1" s="1"/>
  <c r="R35" i="1"/>
  <c r="R39" i="1" s="1"/>
  <c r="R36" i="1" l="1"/>
  <c r="S33" i="1" s="1"/>
  <c r="R44" i="1"/>
  <c r="R46" i="1" s="1"/>
  <c r="R83" i="1"/>
  <c r="S78" i="1" s="1"/>
  <c r="R56" i="1"/>
  <c r="R16" i="1" s="1"/>
  <c r="R17" i="1" s="1"/>
  <c r="S15" i="1" s="1"/>
  <c r="R51" i="1"/>
  <c r="R53" i="1" s="1"/>
  <c r="R40" i="1"/>
  <c r="R27" i="1" l="1"/>
  <c r="R92" i="1" s="1"/>
  <c r="R103" i="1"/>
  <c r="R102" i="1"/>
  <c r="S48" i="1"/>
  <c r="S61" i="1" s="1"/>
  <c r="S43" i="1"/>
  <c r="S38" i="1"/>
  <c r="S26" i="1"/>
  <c r="S29" i="1"/>
  <c r="R54" i="1" l="1"/>
  <c r="S52" i="1" s="1"/>
  <c r="S62" i="1" s="1"/>
  <c r="R93" i="1"/>
  <c r="R94" i="1" s="1"/>
  <c r="R95" i="1" s="1"/>
  <c r="R55" i="1"/>
  <c r="S60" i="1"/>
  <c r="S42" i="1"/>
  <c r="S49" i="1"/>
  <c r="R96" i="1" l="1"/>
  <c r="R97" i="1" s="1"/>
  <c r="S63" i="1"/>
  <c r="S65" i="1"/>
  <c r="S66" i="1" l="1"/>
  <c r="S71" i="1" s="1"/>
  <c r="S68" i="1" l="1"/>
  <c r="S74" i="1" s="1"/>
  <c r="S45" i="1"/>
  <c r="S72" i="1"/>
  <c r="S79" i="1" s="1"/>
  <c r="S80" i="1" l="1"/>
  <c r="S81" i="1" s="1"/>
  <c r="R84" i="1" s="1"/>
  <c r="R86" i="1" s="1"/>
  <c r="S89" i="1" l="1"/>
  <c r="S90" i="1" s="1"/>
  <c r="S12" i="1" s="1"/>
  <c r="S82" i="1" l="1"/>
  <c r="S51" i="1" s="1"/>
  <c r="S13" i="1"/>
  <c r="S35" i="1"/>
  <c r="S39" i="1" s="1"/>
  <c r="S50" i="1"/>
  <c r="S56" i="1" s="1"/>
  <c r="S16" i="1" s="1"/>
  <c r="S17" i="1" s="1"/>
  <c r="S83" i="1" l="1"/>
  <c r="T78" i="1" s="1"/>
  <c r="S36" i="1"/>
  <c r="T33" i="1" s="1"/>
  <c r="S44" i="1"/>
  <c r="S46" i="1" s="1"/>
  <c r="T11" i="1"/>
  <c r="S53" i="1"/>
  <c r="S27" i="1"/>
  <c r="T15" i="1"/>
  <c r="S40" i="1"/>
  <c r="S103" i="1" l="1"/>
  <c r="S55" i="1"/>
  <c r="S92" i="1"/>
  <c r="S102" i="1"/>
  <c r="T42" i="1"/>
  <c r="T43" i="1"/>
  <c r="T49" i="1" s="1"/>
  <c r="T48" i="1"/>
  <c r="T61" i="1" s="1"/>
  <c r="S54" i="1"/>
  <c r="T52" i="1" s="1"/>
  <c r="T62" i="1" s="1"/>
  <c r="T38" i="1"/>
  <c r="T26" i="1"/>
  <c r="T29" i="1"/>
  <c r="T60" i="1" l="1"/>
  <c r="T63" i="1" s="1"/>
  <c r="S93" i="1"/>
  <c r="T65" i="1"/>
  <c r="S94" i="1" l="1"/>
  <c r="S95" i="1" s="1"/>
  <c r="S96" i="1"/>
  <c r="S97" i="1" s="1"/>
  <c r="T66" i="1"/>
  <c r="T45" i="1" s="1"/>
  <c r="T68" i="1" l="1"/>
  <c r="T71" i="1"/>
  <c r="T74" i="1" l="1"/>
  <c r="T72" i="1"/>
  <c r="T79" i="1" l="1"/>
  <c r="T80" i="1" l="1"/>
  <c r="T81" i="1" s="1"/>
  <c r="S84" i="1" l="1"/>
  <c r="S86" i="1" s="1"/>
  <c r="T89" i="1" s="1"/>
  <c r="T90" i="1" s="1"/>
  <c r="T12" i="1" s="1"/>
  <c r="T50" i="1" s="1"/>
  <c r="T56" i="1" s="1"/>
  <c r="T16" i="1" s="1"/>
  <c r="T17" i="1" s="1"/>
  <c r="T35" i="1" l="1"/>
  <c r="T44" i="1" s="1"/>
  <c r="T46" i="1" s="1"/>
  <c r="T13" i="1"/>
  <c r="U11" i="1" s="1"/>
  <c r="T82" i="1"/>
  <c r="T83" i="1"/>
  <c r="U78" i="1" s="1"/>
  <c r="T51" i="1"/>
  <c r="T53" i="1" s="1"/>
  <c r="U48" i="1" s="1"/>
  <c r="T27" i="1"/>
  <c r="U15" i="1"/>
  <c r="T39" i="1" l="1"/>
  <c r="T40" i="1" s="1"/>
  <c r="T36" i="1"/>
  <c r="U33" i="1" s="1"/>
  <c r="T103" i="1"/>
  <c r="T102" i="1"/>
  <c r="T92" i="1"/>
  <c r="T55" i="1"/>
  <c r="U43" i="1"/>
  <c r="T93" i="1"/>
  <c r="U26" i="1"/>
  <c r="U29" i="1"/>
  <c r="U38" i="1"/>
  <c r="T54" i="1"/>
  <c r="U52" i="1" s="1"/>
  <c r="U62" i="1" s="1"/>
  <c r="U61" i="1"/>
  <c r="T94" i="1" l="1"/>
  <c r="T95" i="1" s="1"/>
  <c r="T96" i="1"/>
  <c r="T97" i="1" s="1"/>
  <c r="U60" i="1"/>
  <c r="U63" i="1" s="1"/>
  <c r="U42" i="1"/>
  <c r="U49" i="1"/>
  <c r="U65" i="1" l="1"/>
  <c r="U66" i="1" s="1"/>
  <c r="U45" i="1" s="1"/>
  <c r="U68" i="1" l="1"/>
  <c r="U71" i="1"/>
  <c r="U74" i="1" l="1"/>
  <c r="U72" i="1"/>
  <c r="U79" i="1" s="1"/>
  <c r="U80" i="1" l="1"/>
  <c r="U81" i="1" s="1"/>
  <c r="T84" i="1" l="1"/>
  <c r="T86" i="1" s="1"/>
  <c r="U89" i="1"/>
  <c r="U90" i="1" s="1"/>
  <c r="U12" i="1" s="1"/>
  <c r="U82" i="1" l="1"/>
  <c r="U51" i="1" s="1"/>
  <c r="U50" i="1"/>
  <c r="U35" i="1"/>
  <c r="U13" i="1"/>
  <c r="U44" i="1" l="1"/>
  <c r="U46" i="1" s="1"/>
  <c r="U53" i="1"/>
  <c r="U83" i="1"/>
  <c r="V78" i="1" s="1"/>
  <c r="V11" i="1"/>
  <c r="U39" i="1"/>
  <c r="U36" i="1"/>
  <c r="V33" i="1" s="1"/>
  <c r="U56" i="1"/>
  <c r="U102" i="1" l="1"/>
  <c r="U103" i="1"/>
  <c r="V48" i="1"/>
  <c r="U16" i="1"/>
  <c r="U17" i="1" s="1"/>
  <c r="U40" i="1"/>
  <c r="V61" i="1" l="1"/>
  <c r="V38" i="1"/>
  <c r="V43" i="1"/>
  <c r="V49" i="1" s="1"/>
  <c r="U27" i="1"/>
  <c r="V15" i="1"/>
  <c r="U92" i="1" l="1"/>
  <c r="U93" i="1"/>
  <c r="V29" i="1"/>
  <c r="V26" i="1"/>
  <c r="U55" i="1"/>
  <c r="U54" i="1"/>
  <c r="V52" i="1" s="1"/>
  <c r="V62" i="1" s="1"/>
  <c r="V42" i="1"/>
  <c r="V65" i="1" l="1"/>
  <c r="U94" i="1"/>
  <c r="U95" i="1" s="1"/>
  <c r="U96" i="1"/>
  <c r="U97" i="1" s="1"/>
  <c r="V60" i="1"/>
  <c r="V63" i="1" s="1"/>
  <c r="V66" i="1" l="1"/>
  <c r="V45" i="1" s="1"/>
  <c r="V68" i="1" l="1"/>
  <c r="V71" i="1"/>
  <c r="V74" i="1" l="1"/>
  <c r="V72" i="1"/>
  <c r="V79" i="1" s="1"/>
  <c r="V80" i="1" l="1"/>
  <c r="V81" i="1" s="1"/>
  <c r="U84" i="1" l="1"/>
  <c r="U86" i="1" s="1"/>
  <c r="V89" i="1" s="1"/>
  <c r="V90" i="1" s="1"/>
  <c r="V12" i="1" s="1"/>
  <c r="V82" i="1" l="1"/>
  <c r="V51" i="1" s="1"/>
  <c r="V13" i="1"/>
  <c r="V50" i="1"/>
  <c r="V35" i="1"/>
  <c r="V44" i="1" l="1"/>
  <c r="V46" i="1" s="1"/>
  <c r="V83" i="1"/>
  <c r="W78" i="1" s="1"/>
  <c r="V53" i="1"/>
  <c r="V36" i="1"/>
  <c r="W33" i="1" s="1"/>
  <c r="V39" i="1"/>
  <c r="V102" i="1" s="1"/>
  <c r="V56" i="1"/>
  <c r="W11" i="1"/>
  <c r="V103" i="1" l="1"/>
  <c r="W48" i="1"/>
  <c r="V16" i="1"/>
  <c r="V17" i="1" s="1"/>
  <c r="V40" i="1"/>
  <c r="W61" i="1" l="1"/>
  <c r="W43" i="1"/>
  <c r="W49" i="1" s="1"/>
  <c r="W38" i="1"/>
  <c r="W15" i="1"/>
  <c r="V27" i="1"/>
  <c r="V93" i="1" l="1"/>
  <c r="V92" i="1"/>
  <c r="V55" i="1"/>
  <c r="V54" i="1"/>
  <c r="W52" i="1" s="1"/>
  <c r="W62" i="1" s="1"/>
  <c r="W26" i="1"/>
  <c r="W29" i="1"/>
  <c r="W42" i="1"/>
  <c r="W65" i="1" l="1"/>
  <c r="V94" i="1"/>
  <c r="V95" i="1" s="1"/>
  <c r="V96" i="1"/>
  <c r="V97" i="1" s="1"/>
  <c r="W60" i="1"/>
  <c r="W63" i="1" s="1"/>
  <c r="W66" i="1" l="1"/>
  <c r="W45" i="1" s="1"/>
  <c r="W71" i="1" l="1"/>
  <c r="W72" i="1" s="1"/>
  <c r="W68" i="1"/>
  <c r="W74" i="1" l="1"/>
  <c r="W79" i="1" s="1"/>
  <c r="W80" i="1" l="1"/>
  <c r="W81" i="1" l="1"/>
  <c r="V84" i="1" l="1"/>
  <c r="V86" i="1" s="1"/>
  <c r="W89" i="1" l="1"/>
  <c r="W90" i="1" s="1"/>
  <c r="W12" i="1" s="1"/>
  <c r="W82" i="1" s="1"/>
  <c r="W51" i="1" l="1"/>
  <c r="W83" i="1"/>
  <c r="X78" i="1" s="1"/>
  <c r="W103" i="1"/>
  <c r="W35" i="1"/>
  <c r="W13" i="1"/>
  <c r="X11" i="1" s="1"/>
  <c r="W50" i="1"/>
  <c r="W44" i="1" s="1"/>
  <c r="W46" i="1" l="1"/>
  <c r="X42" i="1" s="1"/>
  <c r="X65" i="1" s="1"/>
  <c r="X43" i="1"/>
  <c r="W53" i="1"/>
  <c r="W56" i="1"/>
  <c r="W16" i="1" s="1"/>
  <c r="W17" i="1" s="1"/>
  <c r="W39" i="1"/>
  <c r="W36" i="1"/>
  <c r="X33" i="1" s="1"/>
  <c r="X49" i="1" l="1"/>
  <c r="W27" i="1"/>
  <c r="W54" i="1" s="1"/>
  <c r="X52" i="1" s="1"/>
  <c r="X62" i="1" s="1"/>
  <c r="X15" i="1"/>
  <c r="X48" i="1"/>
  <c r="X61" i="1" s="1"/>
  <c r="W40" i="1"/>
  <c r="X38" i="1" s="1"/>
  <c r="W102" i="1"/>
  <c r="X26" i="1" l="1"/>
  <c r="X29" i="1"/>
  <c r="X60" i="1" s="1"/>
  <c r="X63" i="1" s="1"/>
  <c r="W55" i="1"/>
  <c r="W93" i="1"/>
  <c r="W92" i="1"/>
  <c r="W96" i="1" l="1"/>
  <c r="W97" i="1" s="1"/>
  <c r="W94" i="1"/>
  <c r="W95" i="1" s="1"/>
  <c r="X66" i="1"/>
  <c r="X45" i="1" s="1"/>
  <c r="X71" i="1" l="1"/>
  <c r="X68" i="1"/>
  <c r="X74" i="1" l="1"/>
  <c r="X79" i="1" s="1"/>
  <c r="X80" i="1" s="1"/>
  <c r="X81" i="1" s="1"/>
  <c r="X72" i="1"/>
  <c r="W84" i="1" l="1"/>
  <c r="W86" i="1" s="1"/>
  <c r="X89" i="1" l="1"/>
  <c r="X90" i="1" s="1"/>
  <c r="X12" i="1" s="1"/>
  <c r="X82" i="1" s="1"/>
  <c r="X51" i="1" l="1"/>
  <c r="X83" i="1"/>
  <c r="Y78" i="1" s="1"/>
  <c r="X13" i="1"/>
  <c r="Y11" i="1" s="1"/>
  <c r="X50" i="1"/>
  <c r="X35" i="1"/>
  <c r="X44" i="1" s="1"/>
  <c r="X46" i="1" l="1"/>
  <c r="Y42" i="1" s="1"/>
  <c r="Y65" i="1" s="1"/>
  <c r="Y43" i="1"/>
  <c r="X39" i="1"/>
  <c r="X36" i="1"/>
  <c r="Y33" i="1" s="1"/>
  <c r="X56" i="1"/>
  <c r="X16" i="1" s="1"/>
  <c r="X17" i="1" s="1"/>
  <c r="X53" i="1"/>
  <c r="Y48" i="1" s="1"/>
  <c r="Y61" i="1" s="1"/>
  <c r="X103" i="1"/>
  <c r="X27" i="1" l="1"/>
  <c r="Y15" i="1"/>
  <c r="X40" i="1"/>
  <c r="Y38" i="1" s="1"/>
  <c r="X102" i="1"/>
  <c r="Y49" i="1"/>
  <c r="Y29" i="1" l="1"/>
  <c r="Y60" i="1" s="1"/>
  <c r="Y26" i="1"/>
  <c r="X54" i="1"/>
  <c r="Y52" i="1" s="1"/>
  <c r="Y62" i="1" s="1"/>
  <c r="X55" i="1"/>
  <c r="X92" i="1"/>
  <c r="X93" i="1"/>
  <c r="Y63" i="1" l="1"/>
  <c r="X94" i="1"/>
  <c r="X95" i="1" s="1"/>
  <c r="X96" i="1"/>
  <c r="X97" i="1" s="1"/>
  <c r="Y66" i="1" l="1"/>
  <c r="Y45" i="1" s="1"/>
  <c r="Y71" i="1" l="1"/>
  <c r="C71" i="1" s="1"/>
  <c r="D18" i="7" s="1"/>
  <c r="Y68" i="1"/>
  <c r="Y74" i="1" l="1"/>
  <c r="Y79" i="1" s="1"/>
  <c r="Y72" i="1"/>
  <c r="D19" i="7" s="1"/>
  <c r="Y80" i="1" l="1"/>
  <c r="Y81" i="1" s="1"/>
  <c r="X84" i="1" l="1"/>
  <c r="X86" i="1" s="1"/>
  <c r="Y89" i="1" s="1"/>
  <c r="Y90" i="1" s="1"/>
  <c r="Y12" i="1" s="1"/>
  <c r="Y82" i="1" l="1"/>
  <c r="Y51" i="1"/>
  <c r="Y13" i="1"/>
  <c r="Y35" i="1"/>
  <c r="Y50" i="1"/>
  <c r="Y44" i="1" l="1"/>
  <c r="Y46" i="1" s="1"/>
  <c r="Y39" i="1"/>
  <c r="Y36" i="1"/>
  <c r="Y83" i="1"/>
  <c r="Y86" i="1" s="1"/>
  <c r="Y103" i="1"/>
  <c r="Y53" i="1"/>
  <c r="Y56" i="1"/>
  <c r="Y16" i="1" s="1"/>
  <c r="Y17" i="1" s="1"/>
  <c r="Y27" i="1" l="1"/>
  <c r="Y54" i="1" s="1"/>
  <c r="D21" i="7"/>
  <c r="Y40" i="1"/>
  <c r="Y102" i="1"/>
  <c r="D22" i="7" l="1"/>
  <c r="Y93" i="1"/>
  <c r="Y55" i="1"/>
  <c r="Y92" i="1"/>
  <c r="Y94" i="1" l="1"/>
  <c r="Y95" i="1" s="1"/>
  <c r="D16" i="7" s="1"/>
  <c r="Y96" i="1"/>
  <c r="Y97" i="1" s="1"/>
  <c r="D1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Sean</author>
  </authors>
  <commentList>
    <comment ref="D21" authorId="0" shapeId="0" xr:uid="{2EC7EAB3-1427-4834-A24D-8547B136A006}">
      <text>
        <r>
          <rPr>
            <b/>
            <sz val="9"/>
            <color indexed="81"/>
            <rFont val="Tahoma"/>
            <family val="2"/>
          </rPr>
          <t>Sean:</t>
        </r>
        <r>
          <rPr>
            <sz val="9"/>
            <color indexed="81"/>
            <rFont val="Tahoma"/>
            <family val="2"/>
          </rPr>
          <t xml:space="preserve">
On affordable</t>
        </r>
      </text>
    </comment>
  </commentList>
</comments>
</file>

<file path=xl/sharedStrings.xml><?xml version="1.0" encoding="utf-8"?>
<sst xmlns="http://schemas.openxmlformats.org/spreadsheetml/2006/main" count="157" uniqueCount="144">
  <si>
    <t>Start Date:</t>
  </si>
  <si>
    <t>Inflation Rate:</t>
  </si>
  <si>
    <t>Portfolio Assumptions</t>
  </si>
  <si>
    <t>Property Acquisitions</t>
  </si>
  <si>
    <t>Opex/Unit/Month</t>
  </si>
  <si>
    <t>RE Tax/Unit/Month</t>
  </si>
  <si>
    <t>RE Tax Abatement</t>
  </si>
  <si>
    <t>Forward Purchase (Unlevered)</t>
  </si>
  <si>
    <t>Transaction Costs - Purchase</t>
  </si>
  <si>
    <t>Assumptions</t>
  </si>
  <si>
    <t>Deal Assumptions</t>
  </si>
  <si>
    <t>Capitalization Assumptions</t>
  </si>
  <si>
    <t>Coupon:</t>
  </si>
  <si>
    <t>Interest Rate</t>
  </si>
  <si>
    <t>Date</t>
  </si>
  <si>
    <t>Year</t>
  </si>
  <si>
    <t>RE Investment</t>
  </si>
  <si>
    <t>Amount Invested - BOP</t>
  </si>
  <si>
    <t>Invested in Pd</t>
  </si>
  <si>
    <t>Amount Invested - EOP</t>
  </si>
  <si>
    <t>Units Owned - BOP</t>
  </si>
  <si>
    <t>Units Added</t>
  </si>
  <si>
    <t>Units Owned - EOP</t>
  </si>
  <si>
    <t>Assets</t>
  </si>
  <si>
    <t>Capital</t>
  </si>
  <si>
    <t>Remaining Capacity</t>
  </si>
  <si>
    <t>Equity Invested in Pd</t>
  </si>
  <si>
    <t>Senior Balance - BOP</t>
  </si>
  <si>
    <t>Senior Balance - EOP</t>
  </si>
  <si>
    <t>Initial Raise:</t>
  </si>
  <si>
    <t>RE Value - BOP</t>
  </si>
  <si>
    <t>Inflation Factor</t>
  </si>
  <si>
    <t>Investment Capacity - BOP</t>
  </si>
  <si>
    <t>Valuation Cap Rate</t>
  </si>
  <si>
    <t>RE Value - EOP</t>
  </si>
  <si>
    <t>Other Assumptions</t>
  </si>
  <si>
    <t>G&amp;A (Annual)</t>
  </si>
  <si>
    <t>Senior LTV (EOP)</t>
  </si>
  <si>
    <t>Outputs:</t>
  </si>
  <si>
    <t>Year #</t>
  </si>
  <si>
    <t>We The People CIV</t>
  </si>
  <si>
    <t>Percent of SF Commercial</t>
  </si>
  <si>
    <t xml:space="preserve">Commercial Rent/Unit/Month </t>
  </si>
  <si>
    <t>Resi Rent/Unit/Month</t>
  </si>
  <si>
    <t>Rent/Unit (blended)</t>
  </si>
  <si>
    <t xml:space="preserve">Commercial Vacancy </t>
  </si>
  <si>
    <t xml:space="preserve">Resi Vacancy </t>
  </si>
  <si>
    <t>Blended Vacancy</t>
  </si>
  <si>
    <t>U/W NOI/Unit/Year</t>
  </si>
  <si>
    <t>Units/Property</t>
  </si>
  <si>
    <t>Property Annual NOI</t>
  </si>
  <si>
    <t>Purchase Cap Rate</t>
  </si>
  <si>
    <t>Value/Property</t>
  </si>
  <si>
    <t>PRI Financing</t>
  </si>
  <si>
    <t>Acquisition LTC:</t>
  </si>
  <si>
    <t>Annual Amortization</t>
  </si>
  <si>
    <t>Target LTV:</t>
  </si>
  <si>
    <t>If LTV over target; otherwise assume re-lever</t>
  </si>
  <si>
    <t>Community Common Equity</t>
  </si>
  <si>
    <t>Debt Financing</t>
  </si>
  <si>
    <t>Fees &amp; Costs</t>
  </si>
  <si>
    <t>Number of Investors</t>
  </si>
  <si>
    <t>Investor Type</t>
  </si>
  <si>
    <t>Amt/Year</t>
  </si>
  <si>
    <t>Pct of Total</t>
  </si>
  <si>
    <t>Invested/Year</t>
  </si>
  <si>
    <t>Type A</t>
  </si>
  <si>
    <t>Type A match</t>
  </si>
  <si>
    <t>Type B</t>
  </si>
  <si>
    <t>Total/Average</t>
  </si>
  <si>
    <t>Years of capital raise</t>
  </si>
  <si>
    <t>Target annual dividend</t>
  </si>
  <si>
    <t>Equity Raised in Pd</t>
  </si>
  <si>
    <t>Equity Raise Acct - BOP</t>
  </si>
  <si>
    <t>Equity Raise Acct - EOP</t>
  </si>
  <si>
    <t>Invested Equity Balance - BOP</t>
  </si>
  <si>
    <t>Invested Equity Balance - EOP</t>
  </si>
  <si>
    <t>New Senior Capacity</t>
  </si>
  <si>
    <t>Pct of Capital after Debt:</t>
  </si>
  <si>
    <t>Senior Amortization</t>
  </si>
  <si>
    <t>Senior Drawn in Pd - Acquisitions</t>
  </si>
  <si>
    <t>Portfolio NOI</t>
  </si>
  <si>
    <t>Cash Flow</t>
  </si>
  <si>
    <t>Senior Interest</t>
  </si>
  <si>
    <t>Senior Fees &amp; Costs</t>
  </si>
  <si>
    <t>Cash Flow After Senior</t>
  </si>
  <si>
    <t>Refinance Capacity</t>
  </si>
  <si>
    <t>Senior Drawn in Pd - Refinance</t>
  </si>
  <si>
    <t>Pct of Cash Flow for Repayment:</t>
  </si>
  <si>
    <t>Cash Flow To CIV Account</t>
  </si>
  <si>
    <t>CIV Account</t>
  </si>
  <si>
    <t>Balance - BOP</t>
  </si>
  <si>
    <t>Deposits</t>
  </si>
  <si>
    <t>Draws - Dividends</t>
  </si>
  <si>
    <t>Draws - Redemptions</t>
  </si>
  <si>
    <t>Draws - Reinvestment</t>
  </si>
  <si>
    <t>Balance - EOP</t>
  </si>
  <si>
    <t>Less: Target Balance</t>
  </si>
  <si>
    <t>First dividend year</t>
  </si>
  <si>
    <t>First year of general liquidity</t>
  </si>
  <si>
    <t>Average pct of value withdrawn - before general liquidity</t>
  </si>
  <si>
    <t>Average pct of value withdrawn - after general liquidity</t>
  </si>
  <si>
    <t>Capex Reserve/Unit/Year</t>
  </si>
  <si>
    <t>Working Capital Target</t>
  </si>
  <si>
    <t>Average Unit Purchase Price</t>
  </si>
  <si>
    <t>Minimum Acquisition Amount</t>
  </si>
  <si>
    <t>Portfolio G&amp;A</t>
  </si>
  <si>
    <t>Charitable G&amp;A Support</t>
  </si>
  <si>
    <t>Less: Projected Next Year Needs</t>
  </si>
  <si>
    <t>Available for Reinvestment</t>
  </si>
  <si>
    <t>Equity Capacity - EOP</t>
  </si>
  <si>
    <t>Checks:</t>
  </si>
  <si>
    <t>Asset Value - EOP</t>
  </si>
  <si>
    <t>Common Equity Value - EOP</t>
  </si>
  <si>
    <t>Purchase Price/Unit</t>
  </si>
  <si>
    <t>NOI/Unit</t>
  </si>
  <si>
    <t>Revenue/Unit</t>
  </si>
  <si>
    <t>Opex/Unit</t>
  </si>
  <si>
    <t>Value/Unit</t>
  </si>
  <si>
    <t>Pct Ownership (w/match)</t>
  </si>
  <si>
    <t>Pct Invested</t>
  </si>
  <si>
    <t>Multiple - Type A</t>
  </si>
  <si>
    <t>Multiple - Type B</t>
  </si>
  <si>
    <t>Key Metrics Dashboard</t>
  </si>
  <si>
    <t>Years to Equity Value Double - Type B (Higher Amt) Investors</t>
  </si>
  <si>
    <t>Years to Equity Value Double - Type A (Lower Amt) Investors</t>
  </si>
  <si>
    <t>Amount of Charitable Operating Support Required</t>
  </si>
  <si>
    <t>Key Assumptions:</t>
  </si>
  <si>
    <t>Total Community Equity Raised</t>
  </si>
  <si>
    <t>Investment PRI Raised</t>
  </si>
  <si>
    <t>Acquisition Senior LTC</t>
  </si>
  <si>
    <t>Target Senior LTV</t>
  </si>
  <si>
    <t>Year 1 Portfolio Operating Costs</t>
  </si>
  <si>
    <t>Inflation Rate (General)</t>
  </si>
  <si>
    <t>Units Owned - Year 20</t>
  </si>
  <si>
    <t>Gross Portfolio Value - Year 20</t>
  </si>
  <si>
    <t>PRI Balance - BOP</t>
  </si>
  <si>
    <t>PRI Balance - EOP</t>
  </si>
  <si>
    <t>PRI Repayment</t>
  </si>
  <si>
    <t>PRI Invested in Pd</t>
  </si>
  <si>
    <t>PRI Interest Payment</t>
  </si>
  <si>
    <t>Cash Flow Before G&amp;A</t>
  </si>
  <si>
    <t>Year of First Post-Investment Acquisition</t>
  </si>
  <si>
    <t>Portfolio Covers G&amp;A Costs in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</si>
</sst>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_);\(#,##0.000\)"/>
    <numFmt numFmtId="167" formatCode="0\x"/>
    <numFmt numFmtId="168" formatCode="0.0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4" fontId="2" fillId="0" borderId="0" xfId="0" applyNumberFormat="1" applyFont="1"/>
    <xf numFmtId="164" fontId="2" fillId="0" borderId="0" xfId="0" applyNumberFormat="1" applyFont="1"/>
    <xf numFmtId="165" fontId="2" fillId="0" borderId="0" xfId="1" applyNumberFormat="1" applyFont="1"/>
    <xf numFmtId="0" fontId="3" fillId="0" borderId="0" xfId="0" applyFont="1"/>
    <xf numFmtId="165" fontId="0" fillId="0" borderId="0" xfId="0" applyNumberFormat="1"/>
    <xf numFmtId="0" fontId="4" fillId="0" borderId="0" xfId="0" applyFont="1"/>
    <xf numFmtId="9" fontId="2" fillId="0" borderId="0" xfId="0" applyNumberFormat="1" applyFont="1"/>
    <xf numFmtId="165" fontId="0" fillId="0" borderId="0" xfId="1" applyNumberFormat="1" applyFont="1"/>
    <xf numFmtId="9" fontId="0" fillId="0" borderId="0" xfId="0" applyNumberFormat="1"/>
    <xf numFmtId="43" fontId="0" fillId="0" borderId="0" xfId="0" applyNumberFormat="1"/>
    <xf numFmtId="10" fontId="7" fillId="0" borderId="0" xfId="2" applyNumberFormat="1" applyFont="1"/>
    <xf numFmtId="10" fontId="2" fillId="0" borderId="0" xfId="0" applyNumberFormat="1" applyFont="1"/>
    <xf numFmtId="165" fontId="9" fillId="0" borderId="0" xfId="1" applyNumberFormat="1" applyFont="1"/>
    <xf numFmtId="14" fontId="0" fillId="0" borderId="0" xfId="0" applyNumberFormat="1"/>
    <xf numFmtId="0" fontId="8" fillId="0" borderId="0" xfId="0" applyFont="1"/>
    <xf numFmtId="37" fontId="0" fillId="0" borderId="0" xfId="0" applyNumberFormat="1"/>
    <xf numFmtId="39" fontId="0" fillId="0" borderId="0" xfId="0" applyNumberFormat="1"/>
    <xf numFmtId="164" fontId="0" fillId="0" borderId="0" xfId="2" applyNumberFormat="1" applyFont="1"/>
    <xf numFmtId="37" fontId="8" fillId="0" borderId="0" xfId="0" applyNumberFormat="1" applyFont="1"/>
    <xf numFmtId="166" fontId="0" fillId="0" borderId="0" xfId="0" applyNumberFormat="1"/>
    <xf numFmtId="0" fontId="7" fillId="0" borderId="0" xfId="0" applyFont="1"/>
    <xf numFmtId="37" fontId="7" fillId="0" borderId="0" xfId="0" applyNumberFormat="1" applyFont="1"/>
    <xf numFmtId="7" fontId="9" fillId="0" borderId="0" xfId="3" applyNumberFormat="1" applyFont="1"/>
    <xf numFmtId="9" fontId="9" fillId="0" borderId="0" xfId="0" applyNumberFormat="1" applyFont="1"/>
    <xf numFmtId="0" fontId="1" fillId="0" borderId="0" xfId="4"/>
    <xf numFmtId="165" fontId="2" fillId="0" borderId="0" xfId="5" applyNumberFormat="1" applyFont="1"/>
    <xf numFmtId="0" fontId="1" fillId="0" borderId="0" xfId="4" applyAlignment="1">
      <alignment horizontal="left"/>
    </xf>
    <xf numFmtId="0" fontId="1" fillId="0" borderId="0" xfId="4" applyAlignment="1">
      <alignment wrapText="1"/>
    </xf>
    <xf numFmtId="0" fontId="1" fillId="0" borderId="0" xfId="4" applyAlignment="1">
      <alignment horizontal="left" indent="1"/>
    </xf>
    <xf numFmtId="9" fontId="2" fillId="0" borderId="0" xfId="6" applyFont="1"/>
    <xf numFmtId="165" fontId="1" fillId="0" borderId="0" xfId="4" applyNumberFormat="1"/>
    <xf numFmtId="165" fontId="9" fillId="0" borderId="0" xfId="5" applyNumberFormat="1" applyFont="1"/>
    <xf numFmtId="164" fontId="1" fillId="0" borderId="0" xfId="2" applyNumberFormat="1" applyFont="1"/>
    <xf numFmtId="0" fontId="8" fillId="0" borderId="0" xfId="4" applyFont="1"/>
    <xf numFmtId="165" fontId="8" fillId="0" borderId="0" xfId="4" applyNumberFormat="1" applyFont="1"/>
    <xf numFmtId="165" fontId="10" fillId="0" borderId="0" xfId="5" applyNumberFormat="1" applyFont="1"/>
    <xf numFmtId="167" fontId="2" fillId="0" borderId="0" xfId="5" applyNumberFormat="1" applyFont="1"/>
    <xf numFmtId="164" fontId="2" fillId="0" borderId="0" xfId="6" applyNumberFormat="1" applyFont="1"/>
    <xf numFmtId="168" fontId="0" fillId="0" borderId="0" xfId="0" applyNumberFormat="1"/>
    <xf numFmtId="165" fontId="8" fillId="0" borderId="0" xfId="1" applyNumberFormat="1" applyFont="1" applyAlignment="1">
      <alignment horizontal="right"/>
    </xf>
    <xf numFmtId="10" fontId="0" fillId="0" borderId="0" xfId="0" applyNumberFormat="1"/>
    <xf numFmtId="164" fontId="0" fillId="0" borderId="0" xfId="0" applyNumberFormat="1"/>
  </cellXfs>
  <cellStyles count="7">
    <cellStyle name="Comma" xfId="1" builtinId="3"/>
    <cellStyle name="Comma 3" xfId="5" xr:uid="{72EAE445-A020-4037-BF78-D508E85AF7C0}"/>
    <cellStyle name="Currency" xfId="3" builtinId="4"/>
    <cellStyle name="Normal" xfId="0" builtinId="0"/>
    <cellStyle name="Normal 3" xfId="4" xr:uid="{296FB2B0-B39C-4FDE-8F8A-6A2C9A106CEF}"/>
    <cellStyle name="Percent" xfId="2" builtinId="5"/>
    <cellStyle name="Percent 2" xfId="6" xr:uid="{88488A62-8F60-4764-B798-EFE160A2B13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B4629-D33D-49EC-A4A2-854B2C28DE78}">
  <dimension ref="A1:D22"/>
  <sheetViews>
    <sheetView tabSelected="1" workbookViewId="0">
      <selection activeCell="D21" sqref="D21"/>
    </sheetView>
  </sheetViews>
  <sheetFormatPr defaultRowHeight="14.4" x14ac:dyDescent="0.3"/>
  <cols>
    <col min="1" max="1" width="4.109375" customWidth="1"/>
    <col min="3" max="3" width="43.109375" customWidth="1"/>
    <col min="4" max="4" width="13.5546875" customWidth="1"/>
    <col min="5" max="5" width="10.33203125" customWidth="1"/>
  </cols>
  <sheetData>
    <row r="1" spans="1:4" x14ac:dyDescent="0.3">
      <c r="A1" t="s">
        <v>40</v>
      </c>
    </row>
    <row r="2" spans="1:4" x14ac:dyDescent="0.3">
      <c r="A2" t="s">
        <v>123</v>
      </c>
    </row>
    <row r="5" spans="1:4" x14ac:dyDescent="0.3">
      <c r="A5" s="15" t="s">
        <v>127</v>
      </c>
    </row>
    <row r="6" spans="1:4" x14ac:dyDescent="0.3">
      <c r="B6" t="s">
        <v>51</v>
      </c>
      <c r="D6" s="41">
        <f>Assumptions!C28</f>
        <v>0.09</v>
      </c>
    </row>
    <row r="7" spans="1:4" x14ac:dyDescent="0.3">
      <c r="B7" t="s">
        <v>33</v>
      </c>
      <c r="D7" s="41">
        <f>Assumptions!C32</f>
        <v>0.09</v>
      </c>
    </row>
    <row r="8" spans="1:4" x14ac:dyDescent="0.3">
      <c r="B8" t="s">
        <v>128</v>
      </c>
      <c r="D8" s="16">
        <f>Assumptions!F42*Assumptions!C45</f>
        <v>800000</v>
      </c>
    </row>
    <row r="9" spans="1:4" x14ac:dyDescent="0.3">
      <c r="B9" t="s">
        <v>129</v>
      </c>
      <c r="D9" s="16">
        <f>Assumptions!C53</f>
        <v>1200000</v>
      </c>
    </row>
    <row r="10" spans="1:4" x14ac:dyDescent="0.3">
      <c r="B10" t="s">
        <v>130</v>
      </c>
      <c r="D10" s="9">
        <f>Assumptions!C59</f>
        <v>0.8</v>
      </c>
    </row>
    <row r="11" spans="1:4" x14ac:dyDescent="0.3">
      <c r="B11" t="s">
        <v>131</v>
      </c>
      <c r="D11" s="9">
        <f>Assumptions!C60</f>
        <v>0.65</v>
      </c>
    </row>
    <row r="12" spans="1:4" x14ac:dyDescent="0.3">
      <c r="B12" t="s">
        <v>132</v>
      </c>
      <c r="D12" s="16">
        <f>Assumptions!C66</f>
        <v>150000</v>
      </c>
    </row>
    <row r="13" spans="1:4" x14ac:dyDescent="0.3">
      <c r="B13" t="s">
        <v>133</v>
      </c>
      <c r="D13" s="42">
        <f>Assumptions!C6</f>
        <v>0.03</v>
      </c>
    </row>
    <row r="15" spans="1:4" x14ac:dyDescent="0.3">
      <c r="A15" s="15" t="s">
        <v>38</v>
      </c>
    </row>
    <row r="16" spans="1:4" x14ac:dyDescent="0.3">
      <c r="B16" t="s">
        <v>125</v>
      </c>
      <c r="D16" s="40">
        <f>SUM(Model!F95:Y95)</f>
        <v>0</v>
      </c>
    </row>
    <row r="17" spans="2:4" x14ac:dyDescent="0.3">
      <c r="B17" t="s">
        <v>124</v>
      </c>
      <c r="D17" s="40">
        <f>SUM(Model!F97:Y97)</f>
        <v>6</v>
      </c>
    </row>
    <row r="18" spans="2:4" x14ac:dyDescent="0.3">
      <c r="B18" t="s">
        <v>126</v>
      </c>
      <c r="D18" s="19">
        <f>Model!C71</f>
        <v>439997.54280367633</v>
      </c>
    </row>
    <row r="19" spans="2:4" x14ac:dyDescent="0.3">
      <c r="B19" t="s">
        <v>143</v>
      </c>
      <c r="D19" s="19">
        <f>SUM(Model!F72:Y72)</f>
        <v>6</v>
      </c>
    </row>
    <row r="20" spans="2:4" x14ac:dyDescent="0.3">
      <c r="B20" t="s">
        <v>142</v>
      </c>
      <c r="D20" s="19">
        <f>SUM(Model!$L$104:$Y$104)</f>
        <v>11</v>
      </c>
    </row>
    <row r="21" spans="2:4" x14ac:dyDescent="0.3">
      <c r="B21" t="s">
        <v>134</v>
      </c>
      <c r="D21" s="19">
        <f>Model!Y17</f>
        <v>203.8218086556173</v>
      </c>
    </row>
    <row r="22" spans="2:4" x14ac:dyDescent="0.3">
      <c r="B22" t="s">
        <v>135</v>
      </c>
      <c r="D22" s="19">
        <f>Model!Y27</f>
        <v>38320775.199086234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D35B-C834-4B55-829B-E2BA258A6DC0}">
  <dimension ref="A1:H68"/>
  <sheetViews>
    <sheetView zoomScale="85" zoomScaleNormal="85" workbookViewId="0">
      <pane ySplit="2" topLeftCell="A40" activePane="bottomLeft" state="frozen"/>
      <selection pane="bottomLeft" activeCell="C51" sqref="C51"/>
    </sheetView>
  </sheetViews>
  <sheetFormatPr defaultRowHeight="14.4" x14ac:dyDescent="0.3"/>
  <cols>
    <col min="2" max="2" width="47.88671875" bestFit="1" customWidth="1"/>
    <col min="3" max="4" width="13.6640625" bestFit="1" customWidth="1"/>
    <col min="5" max="5" width="9.44140625" bestFit="1" customWidth="1"/>
    <col min="6" max="6" width="13.44140625" bestFit="1" customWidth="1"/>
    <col min="7" max="20" width="12" bestFit="1" customWidth="1"/>
  </cols>
  <sheetData>
    <row r="1" spans="1:5" x14ac:dyDescent="0.3">
      <c r="A1" t="s">
        <v>40</v>
      </c>
    </row>
    <row r="2" spans="1:5" x14ac:dyDescent="0.3">
      <c r="A2" t="s">
        <v>9</v>
      </c>
    </row>
    <row r="4" spans="1:5" x14ac:dyDescent="0.3">
      <c r="A4" s="6" t="s">
        <v>2</v>
      </c>
    </row>
    <row r="5" spans="1:5" x14ac:dyDescent="0.3">
      <c r="B5" t="s">
        <v>0</v>
      </c>
      <c r="C5" s="1">
        <v>45657</v>
      </c>
    </row>
    <row r="6" spans="1:5" x14ac:dyDescent="0.3">
      <c r="B6" t="s">
        <v>1</v>
      </c>
      <c r="C6" s="2">
        <v>0.03</v>
      </c>
    </row>
    <row r="8" spans="1:5" x14ac:dyDescent="0.3">
      <c r="A8" s="6" t="s">
        <v>10</v>
      </c>
    </row>
    <row r="9" spans="1:5" x14ac:dyDescent="0.3">
      <c r="B9" s="6" t="s">
        <v>3</v>
      </c>
    </row>
    <row r="10" spans="1:5" x14ac:dyDescent="0.3">
      <c r="B10" t="s">
        <v>41</v>
      </c>
      <c r="D10" s="24">
        <v>0.25</v>
      </c>
    </row>
    <row r="11" spans="1:5" x14ac:dyDescent="0.3">
      <c r="B11" s="4"/>
    </row>
    <row r="12" spans="1:5" x14ac:dyDescent="0.3">
      <c r="B12" t="s">
        <v>42</v>
      </c>
      <c r="D12" s="3">
        <f>20*1500/12</f>
        <v>2500</v>
      </c>
    </row>
    <row r="13" spans="1:5" x14ac:dyDescent="0.3">
      <c r="B13" t="s">
        <v>43</v>
      </c>
      <c r="D13" s="3">
        <v>1000</v>
      </c>
    </row>
    <row r="14" spans="1:5" x14ac:dyDescent="0.3">
      <c r="B14" t="s">
        <v>44</v>
      </c>
      <c r="D14" s="5">
        <f>D10*D12+(1-D10)*D13</f>
        <v>1375</v>
      </c>
      <c r="E14" s="5">
        <f>D14*12</f>
        <v>16500</v>
      </c>
    </row>
    <row r="15" spans="1:5" x14ac:dyDescent="0.3">
      <c r="B15" t="s">
        <v>45</v>
      </c>
      <c r="D15" s="7">
        <v>0.1</v>
      </c>
    </row>
    <row r="16" spans="1:5" x14ac:dyDescent="0.3">
      <c r="B16" t="s">
        <v>46</v>
      </c>
      <c r="D16" s="7">
        <v>0.05</v>
      </c>
    </row>
    <row r="17" spans="2:5" x14ac:dyDescent="0.3">
      <c r="B17" t="s">
        <v>47</v>
      </c>
      <c r="D17" s="9">
        <f>D15*D10+D16*(1-D10)</f>
        <v>6.25E-2</v>
      </c>
    </row>
    <row r="18" spans="2:5" x14ac:dyDescent="0.3">
      <c r="B18" t="s">
        <v>4</v>
      </c>
      <c r="D18" s="3">
        <v>400</v>
      </c>
      <c r="E18" s="5"/>
    </row>
    <row r="19" spans="2:5" x14ac:dyDescent="0.3">
      <c r="B19" t="s">
        <v>102</v>
      </c>
      <c r="D19" s="3">
        <v>250</v>
      </c>
      <c r="E19" s="5"/>
    </row>
    <row r="20" spans="2:5" x14ac:dyDescent="0.3">
      <c r="B20" t="s">
        <v>5</v>
      </c>
      <c r="D20" s="3">
        <v>100</v>
      </c>
    </row>
    <row r="21" spans="2:5" x14ac:dyDescent="0.3">
      <c r="B21" t="s">
        <v>6</v>
      </c>
      <c r="D21" s="7">
        <v>0.5</v>
      </c>
    </row>
    <row r="22" spans="2:5" x14ac:dyDescent="0.3">
      <c r="B22" t="s">
        <v>48</v>
      </c>
      <c r="D22" s="8">
        <f>(D14*12*(1-D17)-(D18+D20*(1-D21*D10))*12)-D19</f>
        <v>9368.75</v>
      </c>
    </row>
    <row r="23" spans="2:5" x14ac:dyDescent="0.3">
      <c r="B23" t="s">
        <v>49</v>
      </c>
      <c r="D23" s="3">
        <v>20</v>
      </c>
    </row>
    <row r="24" spans="2:5" x14ac:dyDescent="0.3">
      <c r="B24" t="s">
        <v>50</v>
      </c>
      <c r="D24" s="13">
        <f>D23*D22</f>
        <v>187375</v>
      </c>
    </row>
    <row r="25" spans="2:5" x14ac:dyDescent="0.3">
      <c r="D25" s="13"/>
    </row>
    <row r="27" spans="2:5" x14ac:dyDescent="0.3">
      <c r="B27" s="4" t="s">
        <v>7</v>
      </c>
    </row>
    <row r="28" spans="2:5" x14ac:dyDescent="0.3">
      <c r="B28" t="s">
        <v>51</v>
      </c>
      <c r="C28" s="12">
        <v>0.09</v>
      </c>
    </row>
    <row r="29" spans="2:5" x14ac:dyDescent="0.3">
      <c r="B29" t="s">
        <v>8</v>
      </c>
      <c r="C29" s="2">
        <v>0.02</v>
      </c>
    </row>
    <row r="30" spans="2:5" x14ac:dyDescent="0.3">
      <c r="B30" t="s">
        <v>104</v>
      </c>
      <c r="C30" s="5">
        <f>(D22/C28)*(1+C29)</f>
        <v>106179.16666666667</v>
      </c>
    </row>
    <row r="31" spans="2:5" x14ac:dyDescent="0.3">
      <c r="C31" s="10"/>
    </row>
    <row r="32" spans="2:5" x14ac:dyDescent="0.3">
      <c r="B32" t="s">
        <v>33</v>
      </c>
      <c r="C32" s="12">
        <v>0.09</v>
      </c>
    </row>
    <row r="34" spans="1:8" x14ac:dyDescent="0.3">
      <c r="A34" s="6" t="s">
        <v>11</v>
      </c>
    </row>
    <row r="36" spans="1:8" x14ac:dyDescent="0.3">
      <c r="B36" s="4" t="s">
        <v>58</v>
      </c>
    </row>
    <row r="37" spans="1:8" x14ac:dyDescent="0.3">
      <c r="B37" s="25" t="s">
        <v>61</v>
      </c>
      <c r="C37" s="26">
        <v>100</v>
      </c>
      <c r="D37" s="25"/>
      <c r="E37" s="25"/>
      <c r="F37" s="25"/>
      <c r="G37" s="25"/>
    </row>
    <row r="38" spans="1:8" ht="43.2" x14ac:dyDescent="0.3">
      <c r="B38" s="27" t="s">
        <v>62</v>
      </c>
      <c r="C38" s="25" t="s">
        <v>63</v>
      </c>
      <c r="D38" s="25" t="s">
        <v>64</v>
      </c>
      <c r="E38" s="28" t="s">
        <v>61</v>
      </c>
      <c r="F38" s="25" t="s">
        <v>65</v>
      </c>
      <c r="G38" s="25" t="s">
        <v>120</v>
      </c>
      <c r="H38" s="25" t="s">
        <v>119</v>
      </c>
    </row>
    <row r="39" spans="1:8" x14ac:dyDescent="0.3">
      <c r="B39" s="29" t="s">
        <v>66</v>
      </c>
      <c r="C39" s="26">
        <v>500</v>
      </c>
      <c r="D39" s="30">
        <v>0.2</v>
      </c>
      <c r="E39" s="31">
        <f>D39*$C$37</f>
        <v>20</v>
      </c>
      <c r="F39" s="32">
        <f>E39*C39</f>
        <v>10000</v>
      </c>
      <c r="G39" s="33">
        <f>F39/$F$42</f>
        <v>6.25E-2</v>
      </c>
      <c r="H39" s="33">
        <f>(F39+F40)/$F$42</f>
        <v>0.25</v>
      </c>
    </row>
    <row r="40" spans="1:8" x14ac:dyDescent="0.3">
      <c r="B40" s="29" t="s">
        <v>67</v>
      </c>
      <c r="C40" s="26"/>
      <c r="D40" s="30"/>
      <c r="E40" s="31"/>
      <c r="F40" s="32">
        <f>F39*C44</f>
        <v>30000</v>
      </c>
      <c r="H40" s="33"/>
    </row>
    <row r="41" spans="1:8" x14ac:dyDescent="0.3">
      <c r="B41" s="29" t="s">
        <v>68</v>
      </c>
      <c r="C41" s="26">
        <v>1500</v>
      </c>
      <c r="D41" s="30">
        <v>0.8</v>
      </c>
      <c r="E41" s="31">
        <f>D41*$C$37</f>
        <v>80</v>
      </c>
      <c r="F41" s="32">
        <f>E41*C41</f>
        <v>120000</v>
      </c>
      <c r="G41" s="33">
        <f>F41/$F$42</f>
        <v>0.75</v>
      </c>
      <c r="H41" s="33">
        <f>(F41)/$F$42</f>
        <v>0.75</v>
      </c>
    </row>
    <row r="42" spans="1:8" x14ac:dyDescent="0.3">
      <c r="B42" s="34" t="s">
        <v>69</v>
      </c>
      <c r="C42" s="35">
        <f>SUMPRODUCT(C39:C41,D39:D41)</f>
        <v>1300</v>
      </c>
      <c r="D42" s="25"/>
      <c r="E42" s="35">
        <f>SUM(E39:E41)</f>
        <v>100</v>
      </c>
      <c r="F42" s="36">
        <f>SUM(F39:F41)</f>
        <v>160000</v>
      </c>
      <c r="G42" s="25"/>
    </row>
    <row r="43" spans="1:8" x14ac:dyDescent="0.3">
      <c r="B43" s="25"/>
      <c r="C43" s="32"/>
      <c r="D43" s="25"/>
      <c r="E43" s="25"/>
      <c r="F43" s="25"/>
      <c r="G43" s="25"/>
    </row>
    <row r="44" spans="1:8" x14ac:dyDescent="0.3">
      <c r="B44" s="25" t="s">
        <v>67</v>
      </c>
      <c r="C44" s="37">
        <v>3</v>
      </c>
      <c r="D44" s="25"/>
      <c r="E44" s="25"/>
      <c r="F44" s="25"/>
      <c r="G44" s="25"/>
    </row>
    <row r="45" spans="1:8" x14ac:dyDescent="0.3">
      <c r="B45" s="25" t="s">
        <v>70</v>
      </c>
      <c r="C45" s="26">
        <v>5</v>
      </c>
      <c r="D45" s="25"/>
      <c r="E45" s="25"/>
      <c r="F45" s="25"/>
      <c r="G45" s="25"/>
    </row>
    <row r="46" spans="1:8" x14ac:dyDescent="0.3">
      <c r="B46" s="25" t="s">
        <v>71</v>
      </c>
      <c r="C46" s="30">
        <v>0.03</v>
      </c>
      <c r="D46" s="25"/>
      <c r="E46" s="25"/>
      <c r="F46" s="25"/>
      <c r="G46" s="25"/>
    </row>
    <row r="47" spans="1:8" x14ac:dyDescent="0.3">
      <c r="B47" s="25" t="s">
        <v>98</v>
      </c>
      <c r="C47" s="26">
        <v>10</v>
      </c>
      <c r="D47" s="25"/>
      <c r="E47" s="25"/>
      <c r="F47" s="25"/>
      <c r="G47" s="25"/>
    </row>
    <row r="48" spans="1:8" x14ac:dyDescent="0.3">
      <c r="B48" s="25" t="s">
        <v>99</v>
      </c>
      <c r="C48" s="26">
        <v>5</v>
      </c>
      <c r="D48" s="25"/>
      <c r="E48" s="25"/>
      <c r="F48" s="25"/>
      <c r="G48" s="25"/>
    </row>
    <row r="49" spans="2:7" x14ac:dyDescent="0.3">
      <c r="B49" s="25" t="s">
        <v>100</v>
      </c>
      <c r="C49" s="38">
        <f>C50*H39</f>
        <v>8.3250000000000008E-3</v>
      </c>
      <c r="D49" s="25"/>
      <c r="E49" s="25"/>
      <c r="F49" s="25"/>
      <c r="G49" s="25"/>
    </row>
    <row r="50" spans="2:7" x14ac:dyDescent="0.3">
      <c r="B50" s="25" t="s">
        <v>101</v>
      </c>
      <c r="C50" s="38">
        <v>3.3300000000000003E-2</v>
      </c>
      <c r="D50" s="25"/>
      <c r="E50" s="25"/>
      <c r="F50" s="25"/>
      <c r="G50" s="25"/>
    </row>
    <row r="51" spans="2:7" x14ac:dyDescent="0.3">
      <c r="C51" s="23"/>
    </row>
    <row r="52" spans="2:7" x14ac:dyDescent="0.3">
      <c r="B52" s="4" t="s">
        <v>53</v>
      </c>
    </row>
    <row r="53" spans="2:7" x14ac:dyDescent="0.3">
      <c r="B53" t="s">
        <v>29</v>
      </c>
      <c r="C53" s="3">
        <v>1200000</v>
      </c>
    </row>
    <row r="54" spans="2:7" x14ac:dyDescent="0.3">
      <c r="B54" t="s">
        <v>12</v>
      </c>
      <c r="C54" s="2">
        <v>0.02</v>
      </c>
    </row>
    <row r="55" spans="2:7" x14ac:dyDescent="0.3">
      <c r="B55" t="s">
        <v>78</v>
      </c>
      <c r="C55" s="2">
        <v>0.6</v>
      </c>
    </row>
    <row r="56" spans="2:7" x14ac:dyDescent="0.3">
      <c r="B56" t="s">
        <v>88</v>
      </c>
      <c r="C56" s="2">
        <v>0.25</v>
      </c>
    </row>
    <row r="57" spans="2:7" x14ac:dyDescent="0.3">
      <c r="C57" s="23"/>
    </row>
    <row r="58" spans="2:7" x14ac:dyDescent="0.3">
      <c r="B58" s="4" t="s">
        <v>59</v>
      </c>
      <c r="C58" s="3"/>
    </row>
    <row r="59" spans="2:7" x14ac:dyDescent="0.3">
      <c r="B59" t="s">
        <v>54</v>
      </c>
      <c r="C59" s="2">
        <v>0.8</v>
      </c>
    </row>
    <row r="60" spans="2:7" x14ac:dyDescent="0.3">
      <c r="B60" t="s">
        <v>56</v>
      </c>
      <c r="C60" s="2">
        <v>0.65</v>
      </c>
    </row>
    <row r="61" spans="2:7" x14ac:dyDescent="0.3">
      <c r="B61" t="s">
        <v>13</v>
      </c>
      <c r="C61" s="2">
        <v>6.5000000000000002E-2</v>
      </c>
    </row>
    <row r="62" spans="2:7" x14ac:dyDescent="0.3">
      <c r="B62" t="s">
        <v>55</v>
      </c>
      <c r="C62" s="2">
        <v>1.4999999999999999E-2</v>
      </c>
      <c r="D62" t="s">
        <v>57</v>
      </c>
    </row>
    <row r="63" spans="2:7" x14ac:dyDescent="0.3">
      <c r="B63" t="s">
        <v>60</v>
      </c>
      <c r="C63" s="2">
        <v>0.02</v>
      </c>
    </row>
    <row r="65" spans="1:3" x14ac:dyDescent="0.3">
      <c r="A65" s="6" t="s">
        <v>35</v>
      </c>
    </row>
    <row r="66" spans="1:3" x14ac:dyDescent="0.3">
      <c r="B66" t="s">
        <v>36</v>
      </c>
      <c r="C66" s="3">
        <v>150000</v>
      </c>
    </row>
    <row r="67" spans="1:3" x14ac:dyDescent="0.3">
      <c r="B67" t="s">
        <v>103</v>
      </c>
      <c r="C67" s="3">
        <v>40000</v>
      </c>
    </row>
    <row r="68" spans="1:3" x14ac:dyDescent="0.3">
      <c r="B68" t="s">
        <v>105</v>
      </c>
      <c r="C68" s="3">
        <v>800000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A8E3-A067-4A6E-AC65-A5B60C32BDF7}">
  <dimension ref="A1:Y104"/>
  <sheetViews>
    <sheetView workbookViewId="0">
      <pane xSplit="2" ySplit="6" topLeftCell="N75" activePane="bottomRight" state="frozen"/>
      <selection pane="topRight" activeCell="C1" sqref="C1"/>
      <selection pane="bottomLeft" activeCell="A8" sqref="A8"/>
      <selection pane="bottomRight" activeCell="H104" sqref="H104"/>
    </sheetView>
  </sheetViews>
  <sheetFormatPr defaultRowHeight="14.4" outlineLevelRow="1" x14ac:dyDescent="0.3"/>
  <cols>
    <col min="1" max="1" width="3.33203125" customWidth="1"/>
    <col min="2" max="2" width="34.44140625" bestFit="1" customWidth="1"/>
    <col min="5" max="5" width="12.88671875" style="16" bestFit="1" customWidth="1"/>
    <col min="6" max="6" width="13.77734375" style="16" bestFit="1" customWidth="1"/>
    <col min="7" max="25" width="12.88671875" style="16" bestFit="1" customWidth="1"/>
    <col min="26" max="16384" width="8.88671875" style="16"/>
  </cols>
  <sheetData>
    <row r="1" spans="1:25" customFormat="1" x14ac:dyDescent="0.3">
      <c r="A1" t="s">
        <v>40</v>
      </c>
    </row>
    <row r="2" spans="1:25" customFormat="1" x14ac:dyDescent="0.3">
      <c r="A2" t="s">
        <v>82</v>
      </c>
    </row>
    <row r="3" spans="1:25" customFormat="1" x14ac:dyDescent="0.3"/>
    <row r="4" spans="1:25" customFormat="1" x14ac:dyDescent="0.3">
      <c r="B4" t="s">
        <v>14</v>
      </c>
      <c r="E4" s="14">
        <f>Assumptions!C5</f>
        <v>45657</v>
      </c>
      <c r="F4" s="14">
        <f>EOMONTH(E4,12)</f>
        <v>46022</v>
      </c>
      <c r="G4" s="14">
        <f t="shared" ref="G4:Y4" si="0">EOMONTH(F4,12)</f>
        <v>46387</v>
      </c>
      <c r="H4" s="14">
        <f t="shared" si="0"/>
        <v>46752</v>
      </c>
      <c r="I4" s="14">
        <f t="shared" si="0"/>
        <v>47118</v>
      </c>
      <c r="J4" s="14">
        <f t="shared" si="0"/>
        <v>47483</v>
      </c>
      <c r="K4" s="14">
        <f t="shared" si="0"/>
        <v>47848</v>
      </c>
      <c r="L4" s="14">
        <f t="shared" si="0"/>
        <v>48213</v>
      </c>
      <c r="M4" s="14">
        <f t="shared" si="0"/>
        <v>48579</v>
      </c>
      <c r="N4" s="14">
        <f t="shared" si="0"/>
        <v>48944</v>
      </c>
      <c r="O4" s="14">
        <f t="shared" si="0"/>
        <v>49309</v>
      </c>
      <c r="P4" s="14">
        <f t="shared" si="0"/>
        <v>49674</v>
      </c>
      <c r="Q4" s="14">
        <f t="shared" si="0"/>
        <v>50040</v>
      </c>
      <c r="R4" s="14">
        <f t="shared" si="0"/>
        <v>50405</v>
      </c>
      <c r="S4" s="14">
        <f t="shared" si="0"/>
        <v>50770</v>
      </c>
      <c r="T4" s="14">
        <f t="shared" si="0"/>
        <v>51135</v>
      </c>
      <c r="U4" s="14">
        <f t="shared" si="0"/>
        <v>51501</v>
      </c>
      <c r="V4" s="14">
        <f t="shared" si="0"/>
        <v>51866</v>
      </c>
      <c r="W4" s="14">
        <f t="shared" si="0"/>
        <v>52231</v>
      </c>
      <c r="X4" s="14">
        <f t="shared" si="0"/>
        <v>52596</v>
      </c>
      <c r="Y4" s="14">
        <f t="shared" si="0"/>
        <v>52962</v>
      </c>
    </row>
    <row r="5" spans="1:25" customFormat="1" x14ac:dyDescent="0.3">
      <c r="B5" t="s">
        <v>15</v>
      </c>
      <c r="E5">
        <f>YEAR(E4)</f>
        <v>2024</v>
      </c>
      <c r="F5">
        <f>YEAR(F4)</f>
        <v>2025</v>
      </c>
      <c r="G5">
        <f t="shared" ref="G5:Y5" si="1">YEAR(G4)</f>
        <v>2026</v>
      </c>
      <c r="H5">
        <f t="shared" si="1"/>
        <v>2027</v>
      </c>
      <c r="I5">
        <f t="shared" si="1"/>
        <v>2028</v>
      </c>
      <c r="J5">
        <f t="shared" si="1"/>
        <v>2029</v>
      </c>
      <c r="K5">
        <f t="shared" si="1"/>
        <v>2030</v>
      </c>
      <c r="L5">
        <f t="shared" si="1"/>
        <v>2031</v>
      </c>
      <c r="M5">
        <f t="shared" si="1"/>
        <v>2032</v>
      </c>
      <c r="N5">
        <f t="shared" si="1"/>
        <v>2033</v>
      </c>
      <c r="O5">
        <f t="shared" si="1"/>
        <v>2034</v>
      </c>
      <c r="P5">
        <f t="shared" si="1"/>
        <v>2035</v>
      </c>
      <c r="Q5">
        <f t="shared" si="1"/>
        <v>2036</v>
      </c>
      <c r="R5">
        <f t="shared" si="1"/>
        <v>2037</v>
      </c>
      <c r="S5">
        <f t="shared" si="1"/>
        <v>2038</v>
      </c>
      <c r="T5">
        <f t="shared" si="1"/>
        <v>2039</v>
      </c>
      <c r="U5">
        <f t="shared" si="1"/>
        <v>2040</v>
      </c>
      <c r="V5">
        <f t="shared" si="1"/>
        <v>2041</v>
      </c>
      <c r="W5">
        <f t="shared" si="1"/>
        <v>2042</v>
      </c>
      <c r="X5">
        <f t="shared" si="1"/>
        <v>2043</v>
      </c>
      <c r="Y5">
        <f t="shared" si="1"/>
        <v>2044</v>
      </c>
    </row>
    <row r="6" spans="1:25" customFormat="1" x14ac:dyDescent="0.3">
      <c r="B6" t="s">
        <v>39</v>
      </c>
      <c r="E6">
        <v>0</v>
      </c>
      <c r="F6">
        <f>E6+1</f>
        <v>1</v>
      </c>
      <c r="G6">
        <f t="shared" ref="G6:Y6" si="2">F6+1</f>
        <v>2</v>
      </c>
      <c r="H6">
        <f t="shared" si="2"/>
        <v>3</v>
      </c>
      <c r="I6">
        <f t="shared" si="2"/>
        <v>4</v>
      </c>
      <c r="J6">
        <f t="shared" si="2"/>
        <v>5</v>
      </c>
      <c r="K6">
        <f t="shared" si="2"/>
        <v>6</v>
      </c>
      <c r="L6">
        <f t="shared" si="2"/>
        <v>7</v>
      </c>
      <c r="M6">
        <f t="shared" si="2"/>
        <v>8</v>
      </c>
      <c r="N6">
        <f t="shared" si="2"/>
        <v>9</v>
      </c>
      <c r="O6">
        <f t="shared" si="2"/>
        <v>10</v>
      </c>
      <c r="P6">
        <f t="shared" si="2"/>
        <v>11</v>
      </c>
      <c r="Q6">
        <f t="shared" si="2"/>
        <v>12</v>
      </c>
      <c r="R6">
        <f t="shared" si="2"/>
        <v>13</v>
      </c>
      <c r="S6">
        <f t="shared" si="2"/>
        <v>14</v>
      </c>
      <c r="T6">
        <f t="shared" si="2"/>
        <v>15</v>
      </c>
      <c r="U6">
        <f t="shared" si="2"/>
        <v>16</v>
      </c>
      <c r="V6">
        <f t="shared" si="2"/>
        <v>17</v>
      </c>
      <c r="W6">
        <f t="shared" si="2"/>
        <v>18</v>
      </c>
      <c r="X6">
        <f t="shared" si="2"/>
        <v>19</v>
      </c>
      <c r="Y6">
        <f t="shared" si="2"/>
        <v>20</v>
      </c>
    </row>
    <row r="7" spans="1:25" customFormat="1" x14ac:dyDescent="0.3"/>
    <row r="8" spans="1:25" x14ac:dyDescent="0.3">
      <c r="A8" s="6" t="s">
        <v>23</v>
      </c>
    </row>
    <row r="9" spans="1:25" x14ac:dyDescent="0.3">
      <c r="B9" s="4" t="s">
        <v>16</v>
      </c>
    </row>
    <row r="11" spans="1:25" x14ac:dyDescent="0.3">
      <c r="B11" t="s">
        <v>17</v>
      </c>
      <c r="E11" s="16">
        <v>0</v>
      </c>
      <c r="F11" s="16">
        <f>E13</f>
        <v>0</v>
      </c>
      <c r="G11" s="16">
        <f>F13</f>
        <v>2000000.0000000005</v>
      </c>
      <c r="H11" s="16">
        <f t="shared" ref="H11:Y11" si="3">G13</f>
        <v>4000000.0000000009</v>
      </c>
      <c r="I11" s="16">
        <f t="shared" si="3"/>
        <v>6000000.0000000019</v>
      </c>
      <c r="J11" s="16">
        <f t="shared" si="3"/>
        <v>8000000.0000000019</v>
      </c>
      <c r="K11" s="16">
        <f t="shared" si="3"/>
        <v>10000000.000000002</v>
      </c>
      <c r="L11" s="16">
        <f t="shared" si="3"/>
        <v>10000000.000000002</v>
      </c>
      <c r="M11" s="16">
        <f t="shared" si="3"/>
        <v>10000000.000000002</v>
      </c>
      <c r="N11" s="16">
        <f t="shared" si="3"/>
        <v>10000000.000000002</v>
      </c>
      <c r="O11" s="16">
        <f t="shared" si="3"/>
        <v>10000000.000000002</v>
      </c>
      <c r="P11" s="16">
        <f t="shared" si="3"/>
        <v>10000000.000000002</v>
      </c>
      <c r="Q11" s="16">
        <f t="shared" si="3"/>
        <v>12053186.668607078</v>
      </c>
      <c r="R11" s="16">
        <f t="shared" si="3"/>
        <v>12053186.668607078</v>
      </c>
      <c r="S11" s="16">
        <f t="shared" si="3"/>
        <v>13523369.741686357</v>
      </c>
      <c r="T11" s="16">
        <f t="shared" si="3"/>
        <v>13523369.741686357</v>
      </c>
      <c r="U11" s="16">
        <f t="shared" si="3"/>
        <v>17403925.738125257</v>
      </c>
      <c r="V11" s="16">
        <f t="shared" si="3"/>
        <v>19207833.037975337</v>
      </c>
      <c r="W11" s="16">
        <f t="shared" si="3"/>
        <v>20580122.333058849</v>
      </c>
      <c r="X11" s="16">
        <f t="shared" si="3"/>
        <v>24455767.181471556</v>
      </c>
      <c r="Y11" s="16">
        <f t="shared" si="3"/>
        <v>27741555.446273092</v>
      </c>
    </row>
    <row r="12" spans="1:25" x14ac:dyDescent="0.3">
      <c r="B12" t="s">
        <v>18</v>
      </c>
      <c r="C12" s="18"/>
      <c r="E12" s="16">
        <v>0</v>
      </c>
      <c r="F12" s="16">
        <f>IF(F90&lt;Assumptions!$C$68*F99,0,F90)</f>
        <v>2000000.0000000005</v>
      </c>
      <c r="G12" s="16">
        <f>IF(G90&lt;Assumptions!$C$68*G99,0,G90)</f>
        <v>2000000.0000000005</v>
      </c>
      <c r="H12" s="16">
        <f>IF(H90&lt;Assumptions!$C$68*H99,0,H90)</f>
        <v>2000000.0000000005</v>
      </c>
      <c r="I12" s="16">
        <f>IF(I90&lt;Assumptions!$C$68*I99,0,I90)</f>
        <v>2000000.0000000005</v>
      </c>
      <c r="J12" s="16">
        <f>IF(J90&lt;Assumptions!$C$68*J99,0,J90)</f>
        <v>2000000.0000000005</v>
      </c>
      <c r="K12" s="16">
        <f>IF(K90&lt;Assumptions!$C$68*K99,0,K90)</f>
        <v>0</v>
      </c>
      <c r="L12" s="16">
        <f>IF(L90&lt;Assumptions!$C$68*L99,0,L90)</f>
        <v>0</v>
      </c>
      <c r="M12" s="16">
        <f>IF(M90&lt;Assumptions!$C$68*M99,0,M90)</f>
        <v>0</v>
      </c>
      <c r="N12" s="16">
        <f>IF(N90&lt;Assumptions!$C$68*N99,0,N90)</f>
        <v>0</v>
      </c>
      <c r="O12" s="16">
        <f>IF(O90&lt;Assumptions!$C$68*O99,0,O90)</f>
        <v>0</v>
      </c>
      <c r="P12" s="16">
        <f>IF(P90&lt;Assumptions!$C$68*P99,0,P90)</f>
        <v>2053186.6686070762</v>
      </c>
      <c r="Q12" s="16">
        <f>IF(Q90&lt;Assumptions!$C$68*Q99,0,Q90)</f>
        <v>0</v>
      </c>
      <c r="R12" s="16">
        <f>IF(R90&lt;Assumptions!$C$68*R99,0,R90)</f>
        <v>1470183.0730792789</v>
      </c>
      <c r="S12" s="16">
        <f>IF(S90&lt;Assumptions!$C$68*S99,0,S90)</f>
        <v>0</v>
      </c>
      <c r="T12" s="16">
        <f>IF(T90&lt;Assumptions!$C$68*T99,0,T90)</f>
        <v>3880555.9964389019</v>
      </c>
      <c r="U12" s="16">
        <f>IF(U90&lt;Assumptions!$C$68*U99,0,U90)</f>
        <v>1803907.2998500813</v>
      </c>
      <c r="V12" s="16">
        <f>IF(V90&lt;Assumptions!$C$68*V99,0,V90)</f>
        <v>1372289.2950835121</v>
      </c>
      <c r="W12" s="16">
        <f>IF(W90&lt;Assumptions!$C$68*W99,0,W90)</f>
        <v>3875644.8484127065</v>
      </c>
      <c r="X12" s="16">
        <f>IF(X90&lt;Assumptions!$C$68*X99,0,X90)</f>
        <v>3285788.2648015353</v>
      </c>
      <c r="Y12" s="16">
        <f>IF(Y90&lt;Assumptions!$C$68*Y99,0,Y90)</f>
        <v>3168238.3134785923</v>
      </c>
    </row>
    <row r="13" spans="1:25" x14ac:dyDescent="0.3">
      <c r="B13" t="s">
        <v>19</v>
      </c>
      <c r="E13" s="16">
        <f>E11+E12</f>
        <v>0</v>
      </c>
      <c r="F13" s="16">
        <f>F11+F12</f>
        <v>2000000.0000000005</v>
      </c>
      <c r="G13" s="16">
        <f>G11+G12</f>
        <v>4000000.0000000009</v>
      </c>
      <c r="H13" s="16">
        <f t="shared" ref="H13:Y13" si="4">H11+H12</f>
        <v>6000000.0000000019</v>
      </c>
      <c r="I13" s="16">
        <f t="shared" si="4"/>
        <v>8000000.0000000019</v>
      </c>
      <c r="J13" s="16">
        <f t="shared" si="4"/>
        <v>10000000.000000002</v>
      </c>
      <c r="K13" s="16">
        <f t="shared" si="4"/>
        <v>10000000.000000002</v>
      </c>
      <c r="L13" s="16">
        <f t="shared" si="4"/>
        <v>10000000.000000002</v>
      </c>
      <c r="M13" s="16">
        <f t="shared" si="4"/>
        <v>10000000.000000002</v>
      </c>
      <c r="N13" s="16">
        <f t="shared" si="4"/>
        <v>10000000.000000002</v>
      </c>
      <c r="O13" s="16">
        <f t="shared" si="4"/>
        <v>10000000.000000002</v>
      </c>
      <c r="P13" s="16">
        <f t="shared" si="4"/>
        <v>12053186.668607078</v>
      </c>
      <c r="Q13" s="16">
        <f t="shared" si="4"/>
        <v>12053186.668607078</v>
      </c>
      <c r="R13" s="16">
        <f t="shared" si="4"/>
        <v>13523369.741686357</v>
      </c>
      <c r="S13" s="16">
        <f t="shared" si="4"/>
        <v>13523369.741686357</v>
      </c>
      <c r="T13" s="16">
        <f t="shared" si="4"/>
        <v>17403925.738125257</v>
      </c>
      <c r="U13" s="16">
        <f t="shared" si="4"/>
        <v>19207833.037975337</v>
      </c>
      <c r="V13" s="16">
        <f t="shared" si="4"/>
        <v>20580122.333058849</v>
      </c>
      <c r="W13" s="16">
        <f t="shared" si="4"/>
        <v>24455767.181471556</v>
      </c>
      <c r="X13" s="16">
        <f t="shared" si="4"/>
        <v>27741555.446273092</v>
      </c>
      <c r="Y13" s="16">
        <f t="shared" si="4"/>
        <v>30909793.759751685</v>
      </c>
    </row>
    <row r="15" spans="1:25" x14ac:dyDescent="0.3">
      <c r="B15" t="s">
        <v>20</v>
      </c>
      <c r="E15" s="16">
        <v>0</v>
      </c>
      <c r="F15" s="16">
        <f>E17</f>
        <v>0</v>
      </c>
      <c r="G15" s="16">
        <f>F17</f>
        <v>17.994863508853612</v>
      </c>
      <c r="H15" s="16">
        <f t="shared" ref="H15:Y15" si="5">G17</f>
        <v>35.465604779585277</v>
      </c>
      <c r="I15" s="16">
        <f t="shared" si="5"/>
        <v>52.427489508450968</v>
      </c>
      <c r="J15" s="16">
        <f t="shared" si="5"/>
        <v>68.895338759776877</v>
      </c>
      <c r="K15" s="16">
        <f t="shared" si="5"/>
        <v>84.883541916403971</v>
      </c>
      <c r="L15" s="16">
        <f t="shared" si="5"/>
        <v>84.883541916403971</v>
      </c>
      <c r="M15" s="16">
        <f t="shared" si="5"/>
        <v>84.883541916403971</v>
      </c>
      <c r="N15" s="16">
        <f t="shared" si="5"/>
        <v>84.883541916403971</v>
      </c>
      <c r="O15" s="16">
        <f t="shared" si="5"/>
        <v>84.883541916403971</v>
      </c>
      <c r="P15" s="16">
        <f t="shared" si="5"/>
        <v>84.883541916403971</v>
      </c>
      <c r="Q15" s="16">
        <f t="shared" si="5"/>
        <v>98.629491600346924</v>
      </c>
      <c r="R15" s="16">
        <f t="shared" si="5"/>
        <v>98.629491600346924</v>
      </c>
      <c r="S15" s="16">
        <f t="shared" si="5"/>
        <v>107.90725478531175</v>
      </c>
      <c r="T15" s="16">
        <f t="shared" si="5"/>
        <v>107.90725478531175</v>
      </c>
      <c r="U15" s="16">
        <f t="shared" si="5"/>
        <v>130.99020793080874</v>
      </c>
      <c r="V15" s="16">
        <f t="shared" si="5"/>
        <v>141.40796933504006</v>
      </c>
      <c r="W15" s="16">
        <f t="shared" si="5"/>
        <v>149.10226093816877</v>
      </c>
      <c r="X15" s="16">
        <f t="shared" si="5"/>
        <v>170.19969868568879</v>
      </c>
      <c r="Y15" s="16">
        <f t="shared" si="5"/>
        <v>187.56523060887446</v>
      </c>
    </row>
    <row r="16" spans="1:25" x14ac:dyDescent="0.3">
      <c r="B16" t="s">
        <v>21</v>
      </c>
      <c r="E16" s="16">
        <v>0</v>
      </c>
      <c r="F16" s="16">
        <f>((F12-F56)/F19)</f>
        <v>17.994863508853612</v>
      </c>
      <c r="G16" s="16">
        <f t="shared" ref="G16:Y16" si="6">((G12-G56)/G19)</f>
        <v>17.470741270731661</v>
      </c>
      <c r="H16" s="16">
        <f t="shared" si="6"/>
        <v>16.961884728865691</v>
      </c>
      <c r="I16" s="16">
        <f t="shared" si="6"/>
        <v>16.467849251325912</v>
      </c>
      <c r="J16" s="16">
        <f t="shared" si="6"/>
        <v>15.988203156627101</v>
      </c>
      <c r="K16" s="16">
        <f t="shared" si="6"/>
        <v>0</v>
      </c>
      <c r="L16" s="16">
        <f t="shared" si="6"/>
        <v>0</v>
      </c>
      <c r="M16" s="16">
        <f t="shared" si="6"/>
        <v>0</v>
      </c>
      <c r="N16" s="16">
        <f t="shared" si="6"/>
        <v>0</v>
      </c>
      <c r="O16" s="16">
        <f t="shared" si="6"/>
        <v>0</v>
      </c>
      <c r="P16" s="16">
        <f t="shared" si="6"/>
        <v>13.74594968394295</v>
      </c>
      <c r="Q16" s="16">
        <f t="shared" si="6"/>
        <v>0</v>
      </c>
      <c r="R16" s="16">
        <f t="shared" si="6"/>
        <v>9.2777631849648259</v>
      </c>
      <c r="S16" s="16">
        <f t="shared" si="6"/>
        <v>0</v>
      </c>
      <c r="T16" s="16">
        <f t="shared" si="6"/>
        <v>23.082953145496983</v>
      </c>
      <c r="U16" s="16">
        <f t="shared" si="6"/>
        <v>10.417761404231323</v>
      </c>
      <c r="V16" s="16">
        <f t="shared" si="6"/>
        <v>7.6942916031287014</v>
      </c>
      <c r="W16" s="16">
        <f t="shared" si="6"/>
        <v>21.097437747520015</v>
      </c>
      <c r="X16" s="16">
        <f t="shared" si="6"/>
        <v>17.365531923185678</v>
      </c>
      <c r="Y16" s="16">
        <f t="shared" si="6"/>
        <v>16.256578046742845</v>
      </c>
    </row>
    <row r="17" spans="1:25" x14ac:dyDescent="0.3">
      <c r="B17" t="s">
        <v>22</v>
      </c>
      <c r="E17" s="16">
        <f>E15+E16</f>
        <v>0</v>
      </c>
      <c r="F17" s="16">
        <f>F15+F16</f>
        <v>17.994863508853612</v>
      </c>
      <c r="G17" s="16">
        <f>G15+G16</f>
        <v>35.465604779585277</v>
      </c>
      <c r="H17" s="16">
        <f t="shared" ref="H17:Y17" si="7">H15+H16</f>
        <v>52.427489508450968</v>
      </c>
      <c r="I17" s="16">
        <f t="shared" si="7"/>
        <v>68.895338759776877</v>
      </c>
      <c r="J17" s="16">
        <f t="shared" si="7"/>
        <v>84.883541916403971</v>
      </c>
      <c r="K17" s="16">
        <f t="shared" si="7"/>
        <v>84.883541916403971</v>
      </c>
      <c r="L17" s="16">
        <f t="shared" si="7"/>
        <v>84.883541916403971</v>
      </c>
      <c r="M17" s="16">
        <f t="shared" si="7"/>
        <v>84.883541916403971</v>
      </c>
      <c r="N17" s="16">
        <f t="shared" si="7"/>
        <v>84.883541916403971</v>
      </c>
      <c r="O17" s="16">
        <f t="shared" si="7"/>
        <v>84.883541916403971</v>
      </c>
      <c r="P17" s="16">
        <f t="shared" si="7"/>
        <v>98.629491600346924</v>
      </c>
      <c r="Q17" s="16">
        <f t="shared" si="7"/>
        <v>98.629491600346924</v>
      </c>
      <c r="R17" s="16">
        <f t="shared" si="7"/>
        <v>107.90725478531175</v>
      </c>
      <c r="S17" s="16">
        <f t="shared" si="7"/>
        <v>107.90725478531175</v>
      </c>
      <c r="T17" s="16">
        <f t="shared" si="7"/>
        <v>130.99020793080874</v>
      </c>
      <c r="U17" s="16">
        <f t="shared" si="7"/>
        <v>141.40796933504006</v>
      </c>
      <c r="V17" s="16">
        <f t="shared" si="7"/>
        <v>149.10226093816877</v>
      </c>
      <c r="W17" s="16">
        <f t="shared" si="7"/>
        <v>170.19969868568879</v>
      </c>
      <c r="X17" s="16">
        <f t="shared" si="7"/>
        <v>187.56523060887446</v>
      </c>
      <c r="Y17" s="16">
        <f t="shared" si="7"/>
        <v>203.8218086556173</v>
      </c>
    </row>
    <row r="19" spans="1:25" x14ac:dyDescent="0.3">
      <c r="B19" t="s">
        <v>114</v>
      </c>
      <c r="E19" s="16">
        <f>Assumptions!C30</f>
        <v>106179.16666666667</v>
      </c>
      <c r="F19" s="16">
        <f t="shared" ref="F19:O23" si="8">$E19*F$99</f>
        <v>109364.54166666667</v>
      </c>
      <c r="G19" s="16">
        <f t="shared" si="8"/>
        <v>112645.47791666667</v>
      </c>
      <c r="H19" s="16">
        <f t="shared" si="8"/>
        <v>116024.84225416667</v>
      </c>
      <c r="I19" s="16">
        <f t="shared" si="8"/>
        <v>119505.58752179169</v>
      </c>
      <c r="J19" s="16">
        <f t="shared" si="8"/>
        <v>123090.75514744542</v>
      </c>
      <c r="K19" s="16">
        <f t="shared" si="8"/>
        <v>126783.47780186879</v>
      </c>
      <c r="L19" s="16">
        <f t="shared" si="8"/>
        <v>130586.98213592487</v>
      </c>
      <c r="M19" s="16">
        <f t="shared" si="8"/>
        <v>134504.59160000263</v>
      </c>
      <c r="N19" s="16">
        <f t="shared" si="8"/>
        <v>138539.7293480027</v>
      </c>
      <c r="O19" s="16">
        <f t="shared" si="8"/>
        <v>142695.92122844278</v>
      </c>
      <c r="P19" s="16">
        <f t="shared" ref="P19:Y23" si="9">$E19*P$99</f>
        <v>146976.79886529606</v>
      </c>
      <c r="Q19" s="16">
        <f t="shared" si="9"/>
        <v>151386.10283125495</v>
      </c>
      <c r="R19" s="16">
        <f t="shared" si="9"/>
        <v>155927.68591619263</v>
      </c>
      <c r="S19" s="16">
        <f t="shared" si="9"/>
        <v>160605.51649367841</v>
      </c>
      <c r="T19" s="16">
        <f t="shared" si="9"/>
        <v>165423.68198848877</v>
      </c>
      <c r="U19" s="16">
        <f t="shared" si="9"/>
        <v>170386.39244814345</v>
      </c>
      <c r="V19" s="16">
        <f t="shared" si="9"/>
        <v>175497.98422158774</v>
      </c>
      <c r="W19" s="16">
        <f t="shared" si="9"/>
        <v>180762.92374823536</v>
      </c>
      <c r="X19" s="16">
        <f t="shared" si="9"/>
        <v>186185.81146068245</v>
      </c>
      <c r="Y19" s="16">
        <f t="shared" si="9"/>
        <v>191771.38580450293</v>
      </c>
    </row>
    <row r="20" spans="1:25" x14ac:dyDescent="0.3">
      <c r="B20" t="s">
        <v>115</v>
      </c>
      <c r="E20" s="16">
        <f>Assumptions!D22</f>
        <v>9368.75</v>
      </c>
      <c r="F20" s="16">
        <f t="shared" si="8"/>
        <v>9649.8125</v>
      </c>
      <c r="G20" s="16">
        <f t="shared" si="8"/>
        <v>9939.3068750000002</v>
      </c>
      <c r="H20" s="16">
        <f t="shared" si="8"/>
        <v>10237.486081249999</v>
      </c>
      <c r="I20" s="16">
        <f t="shared" si="8"/>
        <v>10544.610663687501</v>
      </c>
      <c r="J20" s="16">
        <f t="shared" si="8"/>
        <v>10860.948983598126</v>
      </c>
      <c r="K20" s="16">
        <f t="shared" si="8"/>
        <v>11186.77745310607</v>
      </c>
      <c r="L20" s="16">
        <f t="shared" si="8"/>
        <v>11522.380776699252</v>
      </c>
      <c r="M20" s="16">
        <f t="shared" si="8"/>
        <v>11868.052200000231</v>
      </c>
      <c r="N20" s="16">
        <f t="shared" si="8"/>
        <v>12224.093766000238</v>
      </c>
      <c r="O20" s="16">
        <f t="shared" si="8"/>
        <v>12590.816578980244</v>
      </c>
      <c r="P20" s="16">
        <f t="shared" si="9"/>
        <v>12968.541076349653</v>
      </c>
      <c r="Q20" s="16">
        <f t="shared" si="9"/>
        <v>13357.597308640143</v>
      </c>
      <c r="R20" s="16">
        <f t="shared" si="9"/>
        <v>13758.325227899348</v>
      </c>
      <c r="S20" s="16">
        <f t="shared" si="9"/>
        <v>14171.074984736329</v>
      </c>
      <c r="T20" s="16">
        <f t="shared" si="9"/>
        <v>14596.207234278419</v>
      </c>
      <c r="U20" s="16">
        <f t="shared" si="9"/>
        <v>15034.093451306773</v>
      </c>
      <c r="V20" s="16">
        <f t="shared" si="9"/>
        <v>15485.116254845976</v>
      </c>
      <c r="W20" s="16">
        <f t="shared" si="9"/>
        <v>15949.669742491356</v>
      </c>
      <c r="X20" s="16">
        <f t="shared" si="9"/>
        <v>16428.159834766098</v>
      </c>
      <c r="Y20" s="16">
        <f t="shared" si="9"/>
        <v>16921.004629809082</v>
      </c>
    </row>
    <row r="21" spans="1:25" x14ac:dyDescent="0.3">
      <c r="B21" t="s">
        <v>116</v>
      </c>
      <c r="E21" s="16">
        <f>Assumptions!E14*(1-Assumptions!D17)</f>
        <v>15468.75</v>
      </c>
      <c r="F21" s="16">
        <f t="shared" si="8"/>
        <v>15932.8125</v>
      </c>
      <c r="G21" s="16">
        <f t="shared" si="8"/>
        <v>16410.796875</v>
      </c>
      <c r="H21" s="16">
        <f t="shared" si="8"/>
        <v>16903.12078125</v>
      </c>
      <c r="I21" s="16">
        <f t="shared" si="8"/>
        <v>17410.214404687504</v>
      </c>
      <c r="J21" s="16">
        <f t="shared" si="8"/>
        <v>17932.520836828127</v>
      </c>
      <c r="K21" s="16">
        <f t="shared" si="8"/>
        <v>18470.496461932969</v>
      </c>
      <c r="L21" s="16">
        <f t="shared" si="8"/>
        <v>19024.611355790959</v>
      </c>
      <c r="M21" s="16">
        <f t="shared" si="8"/>
        <v>19595.349696464691</v>
      </c>
      <c r="N21" s="16">
        <f t="shared" si="8"/>
        <v>20183.210187358633</v>
      </c>
      <c r="O21" s="16">
        <f t="shared" si="8"/>
        <v>20788.706492979392</v>
      </c>
      <c r="P21" s="16">
        <f t="shared" si="9"/>
        <v>21412.367687768772</v>
      </c>
      <c r="Q21" s="16">
        <f t="shared" si="9"/>
        <v>22054.738718401837</v>
      </c>
      <c r="R21" s="16">
        <f t="shared" si="9"/>
        <v>22716.380879953893</v>
      </c>
      <c r="S21" s="16">
        <f t="shared" si="9"/>
        <v>23397.87230635251</v>
      </c>
      <c r="T21" s="16">
        <f t="shared" si="9"/>
        <v>24099.80847554309</v>
      </c>
      <c r="U21" s="16">
        <f t="shared" si="9"/>
        <v>24822.802729809384</v>
      </c>
      <c r="V21" s="16">
        <f t="shared" si="9"/>
        <v>25567.486811703664</v>
      </c>
      <c r="W21" s="16">
        <f t="shared" si="9"/>
        <v>26334.511416054775</v>
      </c>
      <c r="X21" s="16">
        <f t="shared" si="9"/>
        <v>27124.54675853642</v>
      </c>
      <c r="Y21" s="16">
        <f t="shared" si="9"/>
        <v>27938.283161292515</v>
      </c>
    </row>
    <row r="22" spans="1:25" x14ac:dyDescent="0.3">
      <c r="B22" t="s">
        <v>117</v>
      </c>
      <c r="E22" s="16">
        <f>(Assumptions!D18*12+Assumptions!D20*(1-Assumptions!D21*Assumptions!D10)*12)+Assumptions!D19</f>
        <v>6100</v>
      </c>
      <c r="F22" s="16">
        <f t="shared" si="8"/>
        <v>6283</v>
      </c>
      <c r="G22" s="16">
        <f t="shared" si="8"/>
        <v>6471.49</v>
      </c>
      <c r="H22" s="16">
        <f t="shared" si="8"/>
        <v>6665.6346999999996</v>
      </c>
      <c r="I22" s="16">
        <f t="shared" si="8"/>
        <v>6865.6037410000008</v>
      </c>
      <c r="J22" s="16">
        <f t="shared" si="8"/>
        <v>7071.5718532300007</v>
      </c>
      <c r="K22" s="16">
        <f t="shared" si="8"/>
        <v>7283.7190088269008</v>
      </c>
      <c r="L22" s="16">
        <f t="shared" si="8"/>
        <v>7502.230579091708</v>
      </c>
      <c r="M22" s="16">
        <f t="shared" si="8"/>
        <v>7727.29749646446</v>
      </c>
      <c r="N22" s="16">
        <f t="shared" si="8"/>
        <v>7959.1164213583943</v>
      </c>
      <c r="O22" s="16">
        <f t="shared" si="8"/>
        <v>8197.8899139991463</v>
      </c>
      <c r="P22" s="16">
        <f t="shared" si="9"/>
        <v>8443.826611419121</v>
      </c>
      <c r="Q22" s="16">
        <f t="shared" si="9"/>
        <v>8697.1414097616944</v>
      </c>
      <c r="R22" s="16">
        <f t="shared" si="9"/>
        <v>8958.0556520545451</v>
      </c>
      <c r="S22" s="16">
        <f t="shared" si="9"/>
        <v>9226.7973216161827</v>
      </c>
      <c r="T22" s="16">
        <f t="shared" si="9"/>
        <v>9503.6012412646687</v>
      </c>
      <c r="U22" s="16">
        <f t="shared" si="9"/>
        <v>9788.7092785026089</v>
      </c>
      <c r="V22" s="16">
        <f t="shared" si="9"/>
        <v>10082.370556857688</v>
      </c>
      <c r="W22" s="16">
        <f t="shared" si="9"/>
        <v>10384.841673563418</v>
      </c>
      <c r="X22" s="16">
        <f t="shared" si="9"/>
        <v>10696.386923770322</v>
      </c>
      <c r="Y22" s="16">
        <f t="shared" si="9"/>
        <v>11017.278531483431</v>
      </c>
    </row>
    <row r="23" spans="1:25" x14ac:dyDescent="0.3">
      <c r="B23" t="s">
        <v>118</v>
      </c>
      <c r="E23" s="16">
        <f>E20/Assumptions!C32</f>
        <v>104097.22222222222</v>
      </c>
      <c r="F23" s="16">
        <f t="shared" si="8"/>
        <v>107220.13888888889</v>
      </c>
      <c r="G23" s="16">
        <f t="shared" si="8"/>
        <v>110436.74305555555</v>
      </c>
      <c r="H23" s="16">
        <f t="shared" si="8"/>
        <v>113749.84534722222</v>
      </c>
      <c r="I23" s="16">
        <f t="shared" si="8"/>
        <v>117162.3407076389</v>
      </c>
      <c r="J23" s="16">
        <f t="shared" si="8"/>
        <v>120677.21092886807</v>
      </c>
      <c r="K23" s="16">
        <f t="shared" si="8"/>
        <v>124297.5272567341</v>
      </c>
      <c r="L23" s="16">
        <f t="shared" si="8"/>
        <v>128026.45307443614</v>
      </c>
      <c r="M23" s="16">
        <f t="shared" si="8"/>
        <v>131867.24666666923</v>
      </c>
      <c r="N23" s="16">
        <f t="shared" si="8"/>
        <v>135823.2640666693</v>
      </c>
      <c r="O23" s="16">
        <f t="shared" si="8"/>
        <v>139897.96198866938</v>
      </c>
      <c r="P23" s="16">
        <f t="shared" si="9"/>
        <v>144094.90084832947</v>
      </c>
      <c r="Q23" s="16">
        <f t="shared" si="9"/>
        <v>148417.74787377936</v>
      </c>
      <c r="R23" s="16">
        <f t="shared" si="9"/>
        <v>152870.28030999276</v>
      </c>
      <c r="S23" s="16">
        <f t="shared" si="9"/>
        <v>157456.38871929253</v>
      </c>
      <c r="T23" s="16">
        <f t="shared" si="9"/>
        <v>162180.08038087134</v>
      </c>
      <c r="U23" s="16">
        <f t="shared" si="9"/>
        <v>167045.48279229749</v>
      </c>
      <c r="V23" s="16">
        <f t="shared" si="9"/>
        <v>172056.8472760664</v>
      </c>
      <c r="W23" s="16">
        <f t="shared" si="9"/>
        <v>177218.55269434839</v>
      </c>
      <c r="X23" s="16">
        <f t="shared" si="9"/>
        <v>182535.10927517887</v>
      </c>
      <c r="Y23" s="16">
        <f t="shared" si="9"/>
        <v>188011.16255343423</v>
      </c>
    </row>
    <row r="24" spans="1:25" x14ac:dyDescent="0.3">
      <c r="B24" t="s">
        <v>52</v>
      </c>
      <c r="E24" s="16">
        <f>E23*Assumptions!$D$23</f>
        <v>2081944.4444444445</v>
      </c>
      <c r="F24" s="16">
        <f>F23*Assumptions!$D$23</f>
        <v>2144402.777777778</v>
      </c>
      <c r="G24" s="16">
        <f>G23*Assumptions!$D$23</f>
        <v>2208734.861111111</v>
      </c>
      <c r="H24" s="16">
        <f>H23*Assumptions!$D$23</f>
        <v>2274996.9069444444</v>
      </c>
      <c r="I24" s="16">
        <f>I23*Assumptions!$D$23</f>
        <v>2343246.8141527781</v>
      </c>
      <c r="J24" s="16">
        <f>J23*Assumptions!$D$23</f>
        <v>2413544.2185773612</v>
      </c>
      <c r="K24" s="16">
        <f>K23*Assumptions!$D$23</f>
        <v>2485950.5451346822</v>
      </c>
      <c r="L24" s="16">
        <f>L23*Assumptions!$D$23</f>
        <v>2560529.0614887229</v>
      </c>
      <c r="M24" s="16">
        <f>M23*Assumptions!$D$23</f>
        <v>2637344.9333333848</v>
      </c>
      <c r="N24" s="16">
        <f>N23*Assumptions!$D$23</f>
        <v>2716465.281333386</v>
      </c>
      <c r="O24" s="16">
        <f>O23*Assumptions!$D$23</f>
        <v>2797959.2397733876</v>
      </c>
      <c r="P24" s="16">
        <f>P23*Assumptions!$D$23</f>
        <v>2881898.0169665897</v>
      </c>
      <c r="Q24" s="16">
        <f>Q23*Assumptions!$D$23</f>
        <v>2968354.9574755873</v>
      </c>
      <c r="R24" s="16">
        <f>R23*Assumptions!$D$23</f>
        <v>3057405.606199855</v>
      </c>
      <c r="S24" s="16">
        <f>S23*Assumptions!$D$23</f>
        <v>3149127.7743858509</v>
      </c>
      <c r="T24" s="16">
        <f>T23*Assumptions!$D$23</f>
        <v>3243601.6076174267</v>
      </c>
      <c r="U24" s="16">
        <f>U23*Assumptions!$D$23</f>
        <v>3340909.6558459499</v>
      </c>
      <c r="V24" s="16">
        <f>V23*Assumptions!$D$23</f>
        <v>3441136.9455213281</v>
      </c>
      <c r="W24" s="16">
        <f>W23*Assumptions!$D$23</f>
        <v>3544371.0538869677</v>
      </c>
      <c r="X24" s="16">
        <f>X23*Assumptions!$D$23</f>
        <v>3650702.1855035773</v>
      </c>
      <c r="Y24" s="16">
        <f>Y23*Assumptions!$D$23</f>
        <v>3760223.2510686847</v>
      </c>
    </row>
    <row r="25" spans="1:25" x14ac:dyDescent="0.3">
      <c r="J25" s="18"/>
    </row>
    <row r="26" spans="1:25" x14ac:dyDescent="0.3">
      <c r="B26" t="s">
        <v>30</v>
      </c>
      <c r="E26" s="16">
        <f>E$23*E15</f>
        <v>0</v>
      </c>
      <c r="F26" s="16">
        <f t="shared" ref="F26:Y26" si="10">F$23*F15</f>
        <v>0</v>
      </c>
      <c r="G26" s="16">
        <f t="shared" si="10"/>
        <v>1987294.117647059</v>
      </c>
      <c r="H26" s="16">
        <f t="shared" si="10"/>
        <v>4034207.0588235306</v>
      </c>
      <c r="I26" s="16">
        <f t="shared" si="10"/>
        <v>6142527.3882352961</v>
      </c>
      <c r="J26" s="16">
        <f t="shared" si="10"/>
        <v>8314097.3275294136</v>
      </c>
      <c r="K26" s="16">
        <f t="shared" si="10"/>
        <v>10550814.365002355</v>
      </c>
      <c r="L26" s="16">
        <f t="shared" si="10"/>
        <v>10867338.795952426</v>
      </c>
      <c r="M26" s="16">
        <f t="shared" si="10"/>
        <v>11193358.959830999</v>
      </c>
      <c r="N26" s="16">
        <f t="shared" si="10"/>
        <v>11529159.728625929</v>
      </c>
      <c r="O26" s="16">
        <f t="shared" si="10"/>
        <v>11875034.520484706</v>
      </c>
      <c r="P26" s="16">
        <f t="shared" si="10"/>
        <v>12231285.556099249</v>
      </c>
      <c r="Q26" s="16">
        <f t="shared" si="10"/>
        <v>14638367.01725933</v>
      </c>
      <c r="R26" s="16">
        <f t="shared" si="10"/>
        <v>15077518.027777109</v>
      </c>
      <c r="S26" s="16">
        <f t="shared" si="10"/>
        <v>16990686.655107785</v>
      </c>
      <c r="T26" s="16">
        <f t="shared" si="10"/>
        <v>17500407.254761022</v>
      </c>
      <c r="U26" s="16">
        <f t="shared" si="10"/>
        <v>21881322.524865381</v>
      </c>
      <c r="V26" s="16">
        <f t="shared" si="10"/>
        <v>24330209.38349767</v>
      </c>
      <c r="W26" s="16">
        <f t="shared" si="10"/>
        <v>26423686.886917345</v>
      </c>
      <c r="X26" s="16">
        <f t="shared" si="10"/>
        <v>31067420.598194718</v>
      </c>
      <c r="Y26" s="16">
        <f t="shared" si="10"/>
        <v>35264357.061377473</v>
      </c>
    </row>
    <row r="27" spans="1:25" x14ac:dyDescent="0.3">
      <c r="B27" t="s">
        <v>34</v>
      </c>
      <c r="E27" s="16">
        <f>E$23*E17</f>
        <v>0</v>
      </c>
      <c r="F27" s="16">
        <f t="shared" ref="F27:Y27" si="11">F$23*F17</f>
        <v>1929411.7647058829</v>
      </c>
      <c r="G27" s="16">
        <f t="shared" si="11"/>
        <v>3916705.8823529421</v>
      </c>
      <c r="H27" s="16">
        <f t="shared" si="11"/>
        <v>5963618.823529413</v>
      </c>
      <c r="I27" s="16">
        <f t="shared" si="11"/>
        <v>8071939.1529411785</v>
      </c>
      <c r="J27" s="16">
        <f t="shared" si="11"/>
        <v>10243509.092235295</v>
      </c>
      <c r="K27" s="16">
        <f t="shared" si="11"/>
        <v>10550814.365002355</v>
      </c>
      <c r="L27" s="16">
        <f t="shared" si="11"/>
        <v>10867338.795952426</v>
      </c>
      <c r="M27" s="16">
        <f t="shared" si="11"/>
        <v>11193358.959830999</v>
      </c>
      <c r="N27" s="16">
        <f t="shared" si="11"/>
        <v>11529159.728625929</v>
      </c>
      <c r="O27" s="16">
        <f t="shared" si="11"/>
        <v>11875034.520484706</v>
      </c>
      <c r="P27" s="16">
        <f t="shared" si="11"/>
        <v>14212006.812873134</v>
      </c>
      <c r="Q27" s="16">
        <f t="shared" si="11"/>
        <v>14638367.01725933</v>
      </c>
      <c r="R27" s="16">
        <f t="shared" si="11"/>
        <v>16495812.286512414</v>
      </c>
      <c r="S27" s="16">
        <f t="shared" si="11"/>
        <v>16990686.655107785</v>
      </c>
      <c r="T27" s="16">
        <f t="shared" si="11"/>
        <v>21244002.45132561</v>
      </c>
      <c r="U27" s="16">
        <f t="shared" si="11"/>
        <v>23621562.508250166</v>
      </c>
      <c r="V27" s="16">
        <f t="shared" si="11"/>
        <v>25654064.938754704</v>
      </c>
      <c r="W27" s="16">
        <f t="shared" si="11"/>
        <v>30162544.270091955</v>
      </c>
      <c r="X27" s="16">
        <f t="shared" si="11"/>
        <v>34237239.865415022</v>
      </c>
      <c r="Y27" s="16">
        <f t="shared" si="11"/>
        <v>38320775.199086234</v>
      </c>
    </row>
    <row r="29" spans="1:25" x14ac:dyDescent="0.3">
      <c r="B29" t="s">
        <v>81</v>
      </c>
      <c r="E29" s="16">
        <f>E20*E15</f>
        <v>0</v>
      </c>
      <c r="F29" s="16">
        <f t="shared" ref="F29:Y29" si="12">F20*F15</f>
        <v>0</v>
      </c>
      <c r="G29" s="16">
        <f t="shared" si="12"/>
        <v>178856.47058823533</v>
      </c>
      <c r="H29" s="16">
        <f t="shared" si="12"/>
        <v>363078.63529411773</v>
      </c>
      <c r="I29" s="16">
        <f t="shared" si="12"/>
        <v>552827.4649411767</v>
      </c>
      <c r="J29" s="16">
        <f t="shared" si="12"/>
        <v>748268.75947764725</v>
      </c>
      <c r="K29" s="16">
        <f t="shared" si="12"/>
        <v>949573.29285021196</v>
      </c>
      <c r="L29" s="16">
        <f t="shared" si="12"/>
        <v>978060.49163571827</v>
      </c>
      <c r="M29" s="16">
        <f t="shared" si="12"/>
        <v>1007402.30638479</v>
      </c>
      <c r="N29" s="16">
        <f t="shared" si="12"/>
        <v>1037624.3755763337</v>
      </c>
      <c r="O29" s="16">
        <f t="shared" si="12"/>
        <v>1068753.1068436236</v>
      </c>
      <c r="P29" s="16">
        <f t="shared" si="12"/>
        <v>1100815.7000489323</v>
      </c>
      <c r="Q29" s="16">
        <f t="shared" si="12"/>
        <v>1317453.0315533397</v>
      </c>
      <c r="R29" s="16">
        <f t="shared" si="12"/>
        <v>1356976.62249994</v>
      </c>
      <c r="S29" s="16">
        <f t="shared" si="12"/>
        <v>1529161.7989597009</v>
      </c>
      <c r="T29" s="16">
        <f t="shared" si="12"/>
        <v>1575036.6529284921</v>
      </c>
      <c r="U29" s="16">
        <f t="shared" si="12"/>
        <v>1969319.0272378842</v>
      </c>
      <c r="V29" s="16">
        <f t="shared" si="12"/>
        <v>2189718.8445147905</v>
      </c>
      <c r="W29" s="16">
        <f t="shared" si="12"/>
        <v>2378131.8198225615</v>
      </c>
      <c r="X29" s="16">
        <f t="shared" si="12"/>
        <v>2796067.853837525</v>
      </c>
      <c r="Y29" s="16">
        <f t="shared" si="12"/>
        <v>3173792.135523973</v>
      </c>
    </row>
    <row r="31" spans="1:25" x14ac:dyDescent="0.3">
      <c r="A31" s="6" t="s">
        <v>24</v>
      </c>
    </row>
    <row r="33" spans="2:25" x14ac:dyDescent="0.3">
      <c r="B33" t="s">
        <v>73</v>
      </c>
      <c r="E33" s="16">
        <v>0</v>
      </c>
      <c r="F33" s="16">
        <f>E36</f>
        <v>0</v>
      </c>
      <c r="G33" s="16">
        <f t="shared" ref="G33:Y33" si="13">F36</f>
        <v>0</v>
      </c>
      <c r="H33" s="16">
        <f t="shared" si="13"/>
        <v>0</v>
      </c>
      <c r="I33" s="16">
        <f t="shared" si="13"/>
        <v>0</v>
      </c>
      <c r="J33" s="16">
        <f t="shared" si="13"/>
        <v>0</v>
      </c>
      <c r="K33" s="16">
        <f t="shared" si="13"/>
        <v>0</v>
      </c>
      <c r="L33" s="16">
        <f t="shared" si="13"/>
        <v>0</v>
      </c>
      <c r="M33" s="16">
        <f t="shared" si="13"/>
        <v>0</v>
      </c>
      <c r="N33" s="16">
        <f t="shared" si="13"/>
        <v>0</v>
      </c>
      <c r="O33" s="16">
        <f t="shared" si="13"/>
        <v>0</v>
      </c>
      <c r="P33" s="16">
        <f t="shared" si="13"/>
        <v>0</v>
      </c>
      <c r="Q33" s="16">
        <f t="shared" si="13"/>
        <v>0</v>
      </c>
      <c r="R33" s="16">
        <f t="shared" si="13"/>
        <v>0</v>
      </c>
      <c r="S33" s="16">
        <f t="shared" si="13"/>
        <v>0</v>
      </c>
      <c r="T33" s="16">
        <f t="shared" si="13"/>
        <v>0</v>
      </c>
      <c r="U33" s="16">
        <f t="shared" si="13"/>
        <v>0</v>
      </c>
      <c r="V33" s="16">
        <f t="shared" si="13"/>
        <v>0</v>
      </c>
      <c r="W33" s="16">
        <f t="shared" si="13"/>
        <v>0</v>
      </c>
      <c r="X33" s="16">
        <f t="shared" si="13"/>
        <v>0</v>
      </c>
      <c r="Y33" s="16">
        <f t="shared" si="13"/>
        <v>0</v>
      </c>
    </row>
    <row r="34" spans="2:25" x14ac:dyDescent="0.3">
      <c r="B34" t="s">
        <v>72</v>
      </c>
      <c r="E34" s="16">
        <v>0</v>
      </c>
      <c r="F34" s="16">
        <f>(F6&lt;=Assumptions!$C$45)*Assumptions!$F$42</f>
        <v>160000</v>
      </c>
      <c r="G34" s="16">
        <f>(G6&lt;=Assumptions!$C$45)*Assumptions!$F$42</f>
        <v>160000</v>
      </c>
      <c r="H34" s="16">
        <f>(H6&lt;=Assumptions!$C$45)*Assumptions!$F$42</f>
        <v>160000</v>
      </c>
      <c r="I34" s="16">
        <f>(I6&lt;=Assumptions!$C$45)*Assumptions!$F$42</f>
        <v>160000</v>
      </c>
      <c r="J34" s="16">
        <f>(J6&lt;=Assumptions!$C$45)*Assumptions!$F$42</f>
        <v>160000</v>
      </c>
      <c r="K34" s="16">
        <f>(K6&lt;=Assumptions!$C$45)*Assumptions!$F$42</f>
        <v>0</v>
      </c>
      <c r="L34" s="16">
        <f>(L6&lt;=Assumptions!$C$45)*Assumptions!$F$42</f>
        <v>0</v>
      </c>
      <c r="M34" s="16">
        <f>(M6&lt;=Assumptions!$C$45)*Assumptions!$F$42</f>
        <v>0</v>
      </c>
      <c r="N34" s="16">
        <f>(N6&lt;=Assumptions!$C$45)*Assumptions!$F$42</f>
        <v>0</v>
      </c>
      <c r="O34" s="16">
        <f>(O6&lt;=Assumptions!$C$45)*Assumptions!$F$42</f>
        <v>0</v>
      </c>
      <c r="P34" s="16">
        <f>(P6&lt;=Assumptions!$C$45)*Assumptions!$F$42</f>
        <v>0</v>
      </c>
      <c r="Q34" s="16">
        <f>(Q6&lt;=Assumptions!$C$45)*Assumptions!$F$42</f>
        <v>0</v>
      </c>
      <c r="R34" s="16">
        <f>(R6&lt;=Assumptions!$C$45)*Assumptions!$F$42</f>
        <v>0</v>
      </c>
      <c r="S34" s="16">
        <f>(S6&lt;=Assumptions!$C$45)*Assumptions!$F$42</f>
        <v>0</v>
      </c>
      <c r="T34" s="16">
        <f>(T6&lt;=Assumptions!$C$45)*Assumptions!$F$42</f>
        <v>0</v>
      </c>
      <c r="U34" s="16">
        <f>(U6&lt;=Assumptions!$C$45)*Assumptions!$F$42</f>
        <v>0</v>
      </c>
      <c r="V34" s="16">
        <f>(V6&lt;=Assumptions!$C$45)*Assumptions!$F$42</f>
        <v>0</v>
      </c>
      <c r="W34" s="16">
        <f>(W6&lt;=Assumptions!$C$45)*Assumptions!$F$42</f>
        <v>0</v>
      </c>
      <c r="X34" s="16">
        <f>(X6&lt;=Assumptions!$C$45)*Assumptions!$F$42</f>
        <v>0</v>
      </c>
      <c r="Y34" s="16">
        <f>(Y6&lt;=Assumptions!$C$45)*Assumptions!$F$42</f>
        <v>0</v>
      </c>
    </row>
    <row r="35" spans="2:25" x14ac:dyDescent="0.3">
      <c r="B35" t="s">
        <v>26</v>
      </c>
      <c r="E35" s="16">
        <f>MIN(E33+E34,E12*(1-Assumptions!$C$59))</f>
        <v>0</v>
      </c>
      <c r="F35" s="16">
        <f>MIN(F33+F34,F12*(1-Assumptions!$C$59))</f>
        <v>160000</v>
      </c>
      <c r="G35" s="16">
        <f>MIN(G33+G34,G12*(1-Assumptions!$C$59))</f>
        <v>160000</v>
      </c>
      <c r="H35" s="16">
        <f>MIN(H33+H34,H12*(1-Assumptions!$C$59))</f>
        <v>160000</v>
      </c>
      <c r="I35" s="16">
        <f>MIN(I33+I34,I12*(1-Assumptions!$C$59))</f>
        <v>160000</v>
      </c>
      <c r="J35" s="16">
        <f>MIN(J33+J34,J12*(1-Assumptions!$C$59))</f>
        <v>160000</v>
      </c>
      <c r="K35" s="16">
        <f>MIN(K33+K34,K12*(1-Assumptions!$C$59))</f>
        <v>0</v>
      </c>
      <c r="L35" s="16">
        <f>MIN(L33+L34,L12*(1-Assumptions!$C$59))</f>
        <v>0</v>
      </c>
      <c r="M35" s="16">
        <f>MIN(M33+M34,M12*(1-Assumptions!$C$59))</f>
        <v>0</v>
      </c>
      <c r="N35" s="16">
        <f>MIN(N33+N34,N12*(1-Assumptions!$C$59))</f>
        <v>0</v>
      </c>
      <c r="O35" s="16">
        <f>MIN(O33+O34,O12*(1-Assumptions!$C$59))</f>
        <v>0</v>
      </c>
      <c r="P35" s="16">
        <f>MIN(P33+P34,P12*(1-Assumptions!$C$59))</f>
        <v>0</v>
      </c>
      <c r="Q35" s="16">
        <f>MIN(Q33+Q34,Q12*(1-Assumptions!$C$59))</f>
        <v>0</v>
      </c>
      <c r="R35" s="16">
        <f>MIN(R33+R34,R12*(1-Assumptions!$C$59))</f>
        <v>0</v>
      </c>
      <c r="S35" s="16">
        <f>MIN(S33+S34,S12*(1-Assumptions!$C$59))</f>
        <v>0</v>
      </c>
      <c r="T35" s="16">
        <f>MIN(T33+T34,T12*(1-Assumptions!$C$59))</f>
        <v>0</v>
      </c>
      <c r="U35" s="16">
        <f>MIN(U33+U34,U12*(1-Assumptions!$C$59))</f>
        <v>0</v>
      </c>
      <c r="V35" s="16">
        <f>MIN(V33+V34,V12*(1-Assumptions!$C$59))</f>
        <v>0</v>
      </c>
      <c r="W35" s="16">
        <f>MIN(W33+W34,W12*(1-Assumptions!$C$59))</f>
        <v>0</v>
      </c>
      <c r="X35" s="16">
        <f>MIN(X33+X34,X12*(1-Assumptions!$C$59))</f>
        <v>0</v>
      </c>
      <c r="Y35" s="16">
        <f>MIN(Y33+Y34,Y12*(1-Assumptions!$C$59))</f>
        <v>0</v>
      </c>
    </row>
    <row r="36" spans="2:25" x14ac:dyDescent="0.3">
      <c r="B36" t="s">
        <v>74</v>
      </c>
      <c r="E36" s="16">
        <f>E33+E34-E35</f>
        <v>0</v>
      </c>
      <c r="F36" s="16">
        <f>F33+F34-F35</f>
        <v>0</v>
      </c>
      <c r="G36" s="16">
        <f t="shared" ref="G36:Y36" si="14">G33+G34-G35</f>
        <v>0</v>
      </c>
      <c r="H36" s="16">
        <f t="shared" si="14"/>
        <v>0</v>
      </c>
      <c r="I36" s="16">
        <f t="shared" si="14"/>
        <v>0</v>
      </c>
      <c r="J36" s="16">
        <f t="shared" si="14"/>
        <v>0</v>
      </c>
      <c r="K36" s="16">
        <f t="shared" si="14"/>
        <v>0</v>
      </c>
      <c r="L36" s="16">
        <f t="shared" si="14"/>
        <v>0</v>
      </c>
      <c r="M36" s="16">
        <f t="shared" si="14"/>
        <v>0</v>
      </c>
      <c r="N36" s="16">
        <f t="shared" si="14"/>
        <v>0</v>
      </c>
      <c r="O36" s="16">
        <f t="shared" si="14"/>
        <v>0</v>
      </c>
      <c r="P36" s="16">
        <f t="shared" si="14"/>
        <v>0</v>
      </c>
      <c r="Q36" s="16">
        <f t="shared" si="14"/>
        <v>0</v>
      </c>
      <c r="R36" s="16">
        <f t="shared" si="14"/>
        <v>0</v>
      </c>
      <c r="S36" s="16">
        <f t="shared" si="14"/>
        <v>0</v>
      </c>
      <c r="T36" s="16">
        <f t="shared" si="14"/>
        <v>0</v>
      </c>
      <c r="U36" s="16">
        <f t="shared" si="14"/>
        <v>0</v>
      </c>
      <c r="V36" s="16">
        <f t="shared" si="14"/>
        <v>0</v>
      </c>
      <c r="W36" s="16">
        <f t="shared" si="14"/>
        <v>0</v>
      </c>
      <c r="X36" s="16">
        <f t="shared" si="14"/>
        <v>0</v>
      </c>
      <c r="Y36" s="16">
        <f t="shared" si="14"/>
        <v>0</v>
      </c>
    </row>
    <row r="38" spans="2:25" x14ac:dyDescent="0.3">
      <c r="B38" t="s">
        <v>75</v>
      </c>
      <c r="E38" s="16">
        <v>0</v>
      </c>
      <c r="F38" s="16">
        <f>E40</f>
        <v>0</v>
      </c>
      <c r="G38" s="16">
        <f>F40</f>
        <v>160000</v>
      </c>
      <c r="H38" s="16">
        <f t="shared" ref="H38:Y38" si="15">G40</f>
        <v>320000</v>
      </c>
      <c r="I38" s="16">
        <f t="shared" si="15"/>
        <v>480000</v>
      </c>
      <c r="J38" s="16">
        <f t="shared" si="15"/>
        <v>640000</v>
      </c>
      <c r="K38" s="16">
        <f t="shared" si="15"/>
        <v>800000</v>
      </c>
      <c r="L38" s="16">
        <f t="shared" si="15"/>
        <v>800000</v>
      </c>
      <c r="M38" s="16">
        <f t="shared" si="15"/>
        <v>800000</v>
      </c>
      <c r="N38" s="16">
        <f t="shared" si="15"/>
        <v>800000</v>
      </c>
      <c r="O38" s="16">
        <f t="shared" si="15"/>
        <v>800000</v>
      </c>
      <c r="P38" s="16">
        <f t="shared" si="15"/>
        <v>800000</v>
      </c>
      <c r="Q38" s="16">
        <f t="shared" si="15"/>
        <v>800000</v>
      </c>
      <c r="R38" s="16">
        <f t="shared" si="15"/>
        <v>800000</v>
      </c>
      <c r="S38" s="16">
        <f t="shared" si="15"/>
        <v>800000</v>
      </c>
      <c r="T38" s="16">
        <f t="shared" si="15"/>
        <v>800000</v>
      </c>
      <c r="U38" s="16">
        <f t="shared" si="15"/>
        <v>800000</v>
      </c>
      <c r="V38" s="16">
        <f t="shared" si="15"/>
        <v>800000</v>
      </c>
      <c r="W38" s="16">
        <f t="shared" si="15"/>
        <v>800000</v>
      </c>
      <c r="X38" s="16">
        <f t="shared" si="15"/>
        <v>800000</v>
      </c>
      <c r="Y38" s="16">
        <f t="shared" si="15"/>
        <v>800000</v>
      </c>
    </row>
    <row r="39" spans="2:25" x14ac:dyDescent="0.3">
      <c r="B39" t="s">
        <v>26</v>
      </c>
      <c r="C39" s="18" t="str">
        <f>Assumptions!C38</f>
        <v>Amt/Year</v>
      </c>
      <c r="E39" s="16">
        <f>E35</f>
        <v>0</v>
      </c>
      <c r="F39" s="16">
        <f t="shared" ref="F39:Y39" si="16">F35</f>
        <v>160000</v>
      </c>
      <c r="G39" s="16">
        <f t="shared" si="16"/>
        <v>160000</v>
      </c>
      <c r="H39" s="16">
        <f t="shared" si="16"/>
        <v>160000</v>
      </c>
      <c r="I39" s="16">
        <f t="shared" si="16"/>
        <v>160000</v>
      </c>
      <c r="J39" s="16">
        <f t="shared" si="16"/>
        <v>160000</v>
      </c>
      <c r="K39" s="16">
        <f t="shared" si="16"/>
        <v>0</v>
      </c>
      <c r="L39" s="16">
        <f t="shared" si="16"/>
        <v>0</v>
      </c>
      <c r="M39" s="16">
        <f t="shared" si="16"/>
        <v>0</v>
      </c>
      <c r="N39" s="16">
        <f t="shared" si="16"/>
        <v>0</v>
      </c>
      <c r="O39" s="16">
        <f t="shared" si="16"/>
        <v>0</v>
      </c>
      <c r="P39" s="16">
        <f t="shared" si="16"/>
        <v>0</v>
      </c>
      <c r="Q39" s="16">
        <f t="shared" si="16"/>
        <v>0</v>
      </c>
      <c r="R39" s="16">
        <f t="shared" si="16"/>
        <v>0</v>
      </c>
      <c r="S39" s="16">
        <f t="shared" si="16"/>
        <v>0</v>
      </c>
      <c r="T39" s="16">
        <f t="shared" si="16"/>
        <v>0</v>
      </c>
      <c r="U39" s="16">
        <f t="shared" si="16"/>
        <v>0</v>
      </c>
      <c r="V39" s="16">
        <f t="shared" si="16"/>
        <v>0</v>
      </c>
      <c r="W39" s="16">
        <f t="shared" si="16"/>
        <v>0</v>
      </c>
      <c r="X39" s="16">
        <f t="shared" si="16"/>
        <v>0</v>
      </c>
      <c r="Y39" s="16">
        <f t="shared" si="16"/>
        <v>0</v>
      </c>
    </row>
    <row r="40" spans="2:25" x14ac:dyDescent="0.3">
      <c r="B40" t="s">
        <v>76</v>
      </c>
      <c r="E40" s="16">
        <f t="shared" ref="E40:Y40" si="17">E38+E39</f>
        <v>0</v>
      </c>
      <c r="F40" s="16">
        <f t="shared" si="17"/>
        <v>160000</v>
      </c>
      <c r="G40" s="16">
        <f t="shared" si="17"/>
        <v>320000</v>
      </c>
      <c r="H40" s="16">
        <f t="shared" si="17"/>
        <v>480000</v>
      </c>
      <c r="I40" s="16">
        <f t="shared" si="17"/>
        <v>640000</v>
      </c>
      <c r="J40" s="16">
        <f t="shared" si="17"/>
        <v>800000</v>
      </c>
      <c r="K40" s="16">
        <f t="shared" si="17"/>
        <v>800000</v>
      </c>
      <c r="L40" s="16">
        <f t="shared" si="17"/>
        <v>800000</v>
      </c>
      <c r="M40" s="16">
        <f t="shared" si="17"/>
        <v>800000</v>
      </c>
      <c r="N40" s="16">
        <f t="shared" si="17"/>
        <v>800000</v>
      </c>
      <c r="O40" s="16">
        <f t="shared" si="17"/>
        <v>800000</v>
      </c>
      <c r="P40" s="16">
        <f t="shared" si="17"/>
        <v>800000</v>
      </c>
      <c r="Q40" s="16">
        <f t="shared" si="17"/>
        <v>800000</v>
      </c>
      <c r="R40" s="16">
        <f t="shared" si="17"/>
        <v>800000</v>
      </c>
      <c r="S40" s="16">
        <f t="shared" si="17"/>
        <v>800000</v>
      </c>
      <c r="T40" s="16">
        <f t="shared" si="17"/>
        <v>800000</v>
      </c>
      <c r="U40" s="16">
        <f t="shared" si="17"/>
        <v>800000</v>
      </c>
      <c r="V40" s="16">
        <f t="shared" si="17"/>
        <v>800000</v>
      </c>
      <c r="W40" s="16">
        <f t="shared" si="17"/>
        <v>800000</v>
      </c>
      <c r="X40" s="16">
        <f t="shared" si="17"/>
        <v>800000</v>
      </c>
      <c r="Y40" s="16">
        <f t="shared" si="17"/>
        <v>800000</v>
      </c>
    </row>
    <row r="42" spans="2:25" x14ac:dyDescent="0.3">
      <c r="B42" t="s">
        <v>136</v>
      </c>
      <c r="E42" s="16">
        <v>0</v>
      </c>
      <c r="F42" s="16">
        <f>E46</f>
        <v>0</v>
      </c>
      <c r="G42" s="16">
        <f>F46</f>
        <v>240000</v>
      </c>
      <c r="H42" s="16">
        <f t="shared" ref="H42:Y42" si="18">G46</f>
        <v>466085.8823529412</v>
      </c>
      <c r="I42" s="16">
        <f t="shared" si="18"/>
        <v>676505.79411764711</v>
      </c>
      <c r="J42" s="16">
        <f t="shared" si="18"/>
        <v>869483.59891176468</v>
      </c>
      <c r="K42" s="16">
        <f t="shared" si="18"/>
        <v>1043217.6830477939</v>
      </c>
      <c r="L42" s="16">
        <f t="shared" si="18"/>
        <v>955879.73304000194</v>
      </c>
      <c r="M42" s="16">
        <f t="shared" si="18"/>
        <v>859527.60116157238</v>
      </c>
      <c r="N42" s="16">
        <f t="shared" si="18"/>
        <v>754027.64040983154</v>
      </c>
      <c r="O42" s="16">
        <f t="shared" si="18"/>
        <v>639239.93835620943</v>
      </c>
      <c r="P42" s="16">
        <f t="shared" si="18"/>
        <v>487612.6574031692</v>
      </c>
      <c r="Q42" s="16">
        <f t="shared" si="18"/>
        <v>328727.86455356702</v>
      </c>
      <c r="R42" s="16">
        <f t="shared" si="18"/>
        <v>184947.40280647867</v>
      </c>
      <c r="S42" s="16">
        <f t="shared" si="18"/>
        <v>0</v>
      </c>
      <c r="T42" s="16">
        <f t="shared" si="18"/>
        <v>0</v>
      </c>
      <c r="U42" s="16">
        <f t="shared" si="18"/>
        <v>0</v>
      </c>
      <c r="V42" s="16">
        <f t="shared" si="18"/>
        <v>0</v>
      </c>
      <c r="W42" s="16">
        <f t="shared" si="18"/>
        <v>0</v>
      </c>
      <c r="X42" s="16">
        <f t="shared" si="18"/>
        <v>0</v>
      </c>
      <c r="Y42" s="16">
        <f t="shared" si="18"/>
        <v>0</v>
      </c>
    </row>
    <row r="43" spans="2:25" x14ac:dyDescent="0.3">
      <c r="B43" t="s">
        <v>25</v>
      </c>
      <c r="E43" s="16">
        <f>Assumptions!C53</f>
        <v>1200000</v>
      </c>
      <c r="F43" s="16">
        <f>E43-E44</f>
        <v>1200000</v>
      </c>
      <c r="G43" s="16">
        <f>F43-F44</f>
        <v>960000</v>
      </c>
      <c r="H43" s="16">
        <f t="shared" ref="H43:Y43" si="19">G43-G44</f>
        <v>720000</v>
      </c>
      <c r="I43" s="16">
        <f t="shared" si="19"/>
        <v>480000</v>
      </c>
      <c r="J43" s="16">
        <f t="shared" si="19"/>
        <v>240000</v>
      </c>
      <c r="K43" s="16">
        <f t="shared" si="19"/>
        <v>0</v>
      </c>
      <c r="L43" s="16">
        <f t="shared" si="19"/>
        <v>0</v>
      </c>
      <c r="M43" s="16">
        <f t="shared" si="19"/>
        <v>0</v>
      </c>
      <c r="N43" s="16">
        <f t="shared" si="19"/>
        <v>0</v>
      </c>
      <c r="O43" s="16">
        <f t="shared" si="19"/>
        <v>0</v>
      </c>
      <c r="P43" s="16">
        <f t="shared" si="19"/>
        <v>0</v>
      </c>
      <c r="Q43" s="16">
        <f t="shared" si="19"/>
        <v>0</v>
      </c>
      <c r="R43" s="16">
        <f t="shared" si="19"/>
        <v>0</v>
      </c>
      <c r="S43" s="16">
        <f t="shared" si="19"/>
        <v>0</v>
      </c>
      <c r="T43" s="16">
        <f t="shared" si="19"/>
        <v>0</v>
      </c>
      <c r="U43" s="16">
        <f t="shared" si="19"/>
        <v>0</v>
      </c>
      <c r="V43" s="16">
        <f t="shared" si="19"/>
        <v>0</v>
      </c>
      <c r="W43" s="16">
        <f t="shared" si="19"/>
        <v>0</v>
      </c>
      <c r="X43" s="16">
        <f t="shared" si="19"/>
        <v>0</v>
      </c>
      <c r="Y43" s="16">
        <f t="shared" si="19"/>
        <v>0</v>
      </c>
    </row>
    <row r="44" spans="2:25" x14ac:dyDescent="0.3">
      <c r="B44" t="s">
        <v>139</v>
      </c>
      <c r="C44" s="18">
        <f>Assumptions!C55</f>
        <v>0.6</v>
      </c>
      <c r="E44" s="16">
        <v>0</v>
      </c>
      <c r="F44" s="16">
        <f>MIN(F43,F12-F35-F50)</f>
        <v>240000</v>
      </c>
      <c r="G44" s="16">
        <f t="shared" ref="G44:Y44" si="20">MIN(G43,G12-G35-G50)</f>
        <v>240000</v>
      </c>
      <c r="H44" s="16">
        <f t="shared" si="20"/>
        <v>240000</v>
      </c>
      <c r="I44" s="16">
        <f t="shared" si="20"/>
        <v>240000</v>
      </c>
      <c r="J44" s="16">
        <f t="shared" si="20"/>
        <v>240000</v>
      </c>
      <c r="K44" s="16">
        <f t="shared" si="20"/>
        <v>0</v>
      </c>
      <c r="L44" s="16">
        <f t="shared" si="20"/>
        <v>0</v>
      </c>
      <c r="M44" s="16">
        <f t="shared" si="20"/>
        <v>0</v>
      </c>
      <c r="N44" s="16">
        <f t="shared" si="20"/>
        <v>0</v>
      </c>
      <c r="O44" s="16">
        <f t="shared" si="20"/>
        <v>0</v>
      </c>
      <c r="P44" s="16">
        <f t="shared" si="20"/>
        <v>0</v>
      </c>
      <c r="Q44" s="16">
        <f t="shared" si="20"/>
        <v>0</v>
      </c>
      <c r="R44" s="16">
        <f t="shared" si="20"/>
        <v>0</v>
      </c>
      <c r="S44" s="16">
        <f t="shared" si="20"/>
        <v>0</v>
      </c>
      <c r="T44" s="16">
        <f t="shared" si="20"/>
        <v>0</v>
      </c>
      <c r="U44" s="16">
        <f t="shared" si="20"/>
        <v>0</v>
      </c>
      <c r="V44" s="16">
        <f t="shared" si="20"/>
        <v>0</v>
      </c>
      <c r="W44" s="16">
        <f t="shared" si="20"/>
        <v>0</v>
      </c>
      <c r="X44" s="16">
        <f t="shared" si="20"/>
        <v>0</v>
      </c>
      <c r="Y44" s="16">
        <f t="shared" si="20"/>
        <v>0</v>
      </c>
    </row>
    <row r="45" spans="2:25" x14ac:dyDescent="0.3">
      <c r="B45" t="s">
        <v>138</v>
      </c>
      <c r="C45" s="18"/>
      <c r="E45" s="16">
        <f>-E66</f>
        <v>0</v>
      </c>
      <c r="F45" s="16">
        <f t="shared" ref="F45:Y45" si="21">-F66</f>
        <v>0</v>
      </c>
      <c r="G45" s="16">
        <f t="shared" si="21"/>
        <v>13914.117647058823</v>
      </c>
      <c r="H45" s="16">
        <f t="shared" si="21"/>
        <v>29580.088235294119</v>
      </c>
      <c r="I45" s="16">
        <f t="shared" si="21"/>
        <v>47022.195205882374</v>
      </c>
      <c r="J45" s="16">
        <f t="shared" si="21"/>
        <v>66265.9158639706</v>
      </c>
      <c r="K45" s="16">
        <f t="shared" si="21"/>
        <v>87337.950007791922</v>
      </c>
      <c r="L45" s="16">
        <f t="shared" si="21"/>
        <v>96352.131878429558</v>
      </c>
      <c r="M45" s="16">
        <f t="shared" si="21"/>
        <v>105499.96075174086</v>
      </c>
      <c r="N45" s="16">
        <f t="shared" si="21"/>
        <v>114787.70205362207</v>
      </c>
      <c r="O45" s="16">
        <f t="shared" si="21"/>
        <v>151627.2809530402</v>
      </c>
      <c r="P45" s="16">
        <f t="shared" si="21"/>
        <v>158884.79284960221</v>
      </c>
      <c r="Q45" s="16">
        <f t="shared" si="21"/>
        <v>143780.46174708835</v>
      </c>
      <c r="R45" s="16">
        <f t="shared" si="21"/>
        <v>184947.40280647867</v>
      </c>
      <c r="S45" s="16">
        <f t="shared" si="21"/>
        <v>0</v>
      </c>
      <c r="T45" s="16">
        <f t="shared" si="21"/>
        <v>0</v>
      </c>
      <c r="U45" s="16">
        <f t="shared" si="21"/>
        <v>0</v>
      </c>
      <c r="V45" s="16">
        <f t="shared" si="21"/>
        <v>0</v>
      </c>
      <c r="W45" s="16">
        <f t="shared" si="21"/>
        <v>0</v>
      </c>
      <c r="X45" s="16">
        <f t="shared" si="21"/>
        <v>0</v>
      </c>
      <c r="Y45" s="16">
        <f t="shared" si="21"/>
        <v>0</v>
      </c>
    </row>
    <row r="46" spans="2:25" x14ac:dyDescent="0.3">
      <c r="B46" t="s">
        <v>137</v>
      </c>
      <c r="E46" s="16">
        <f>E42+E44-E45</f>
        <v>0</v>
      </c>
      <c r="F46" s="16">
        <f t="shared" ref="F46:Y46" si="22">F42+F44-F45</f>
        <v>240000</v>
      </c>
      <c r="G46" s="16">
        <f t="shared" si="22"/>
        <v>466085.8823529412</v>
      </c>
      <c r="H46" s="16">
        <f t="shared" si="22"/>
        <v>676505.79411764711</v>
      </c>
      <c r="I46" s="16">
        <f t="shared" si="22"/>
        <v>869483.59891176468</v>
      </c>
      <c r="J46" s="16">
        <f t="shared" si="22"/>
        <v>1043217.6830477939</v>
      </c>
      <c r="K46" s="16">
        <f t="shared" si="22"/>
        <v>955879.73304000194</v>
      </c>
      <c r="L46" s="16">
        <f t="shared" si="22"/>
        <v>859527.60116157238</v>
      </c>
      <c r="M46" s="16">
        <f t="shared" si="22"/>
        <v>754027.64040983154</v>
      </c>
      <c r="N46" s="16">
        <f t="shared" si="22"/>
        <v>639239.93835620943</v>
      </c>
      <c r="O46" s="16">
        <f t="shared" si="22"/>
        <v>487612.6574031692</v>
      </c>
      <c r="P46" s="16">
        <f t="shared" si="22"/>
        <v>328727.86455356702</v>
      </c>
      <c r="Q46" s="16">
        <f t="shared" si="22"/>
        <v>184947.40280647867</v>
      </c>
      <c r="R46" s="16">
        <f t="shared" si="22"/>
        <v>0</v>
      </c>
      <c r="S46" s="16">
        <f t="shared" si="22"/>
        <v>0</v>
      </c>
      <c r="T46" s="16">
        <f t="shared" si="22"/>
        <v>0</v>
      </c>
      <c r="U46" s="16">
        <f t="shared" si="22"/>
        <v>0</v>
      </c>
      <c r="V46" s="16">
        <f t="shared" si="22"/>
        <v>0</v>
      </c>
      <c r="W46" s="16">
        <f t="shared" si="22"/>
        <v>0</v>
      </c>
      <c r="X46" s="16">
        <f t="shared" si="22"/>
        <v>0</v>
      </c>
      <c r="Y46" s="16">
        <f t="shared" si="22"/>
        <v>0</v>
      </c>
    </row>
    <row r="48" spans="2:25" x14ac:dyDescent="0.3">
      <c r="B48" t="s">
        <v>27</v>
      </c>
      <c r="E48" s="16">
        <v>0</v>
      </c>
      <c r="F48" s="16">
        <f>E53</f>
        <v>0</v>
      </c>
      <c r="G48" s="16">
        <f>F53</f>
        <v>1600000.0000000005</v>
      </c>
      <c r="H48" s="16">
        <f t="shared" ref="H48:Y48" si="23">G53</f>
        <v>3176000.0000000009</v>
      </c>
      <c r="I48" s="16">
        <f t="shared" si="23"/>
        <v>4728360.0000000019</v>
      </c>
      <c r="J48" s="16">
        <f t="shared" si="23"/>
        <v>6257434.6000000015</v>
      </c>
      <c r="K48" s="16">
        <f t="shared" si="23"/>
        <v>7763573.0810000012</v>
      </c>
      <c r="L48" s="16">
        <f t="shared" si="23"/>
        <v>7647119.4847850008</v>
      </c>
      <c r="M48" s="16">
        <f t="shared" si="23"/>
        <v>7532412.6925132256</v>
      </c>
      <c r="N48" s="16">
        <f t="shared" si="23"/>
        <v>7419426.5021255268</v>
      </c>
      <c r="O48" s="16">
        <f t="shared" si="23"/>
        <v>7308135.1045936439</v>
      </c>
      <c r="P48" s="16">
        <f t="shared" si="23"/>
        <v>7308135.1045936439</v>
      </c>
      <c r="Q48" s="16">
        <f t="shared" si="23"/>
        <v>9361321.7732007205</v>
      </c>
      <c r="R48" s="16">
        <f t="shared" si="23"/>
        <v>9220901.9466027096</v>
      </c>
      <c r="S48" s="16">
        <f t="shared" si="23"/>
        <v>10691085.019681988</v>
      </c>
      <c r="T48" s="16">
        <f t="shared" si="23"/>
        <v>10691085.019681988</v>
      </c>
      <c r="U48" s="16">
        <f t="shared" si="23"/>
        <v>14148391.122971183</v>
      </c>
      <c r="V48" s="16">
        <f t="shared" si="23"/>
        <v>15379291.09600668</v>
      </c>
      <c r="W48" s="16">
        <f t="shared" si="23"/>
        <v>16246433.16563339</v>
      </c>
      <c r="X48" s="16">
        <f t="shared" si="23"/>
        <v>19775658.088920724</v>
      </c>
      <c r="Y48" s="16">
        <f t="shared" si="23"/>
        <v>22107653.82942814</v>
      </c>
    </row>
    <row r="49" spans="2:25" x14ac:dyDescent="0.3">
      <c r="B49" t="s">
        <v>77</v>
      </c>
      <c r="E49" s="16">
        <f>(E33+E34+MIN(E43,(E33+E34)/(1-Assumptions!$C$55)))/((1-Assumptions!$C$59)/Assumptions!$C$59)</f>
        <v>0</v>
      </c>
      <c r="F49" s="16">
        <f>(F33+F34+MIN(F43,(F33+F34)*(Assumptions!$C$55/(1-Assumptions!$C$55))))/((1-Assumptions!$C$59)/Assumptions!$C$59)</f>
        <v>1600000.0000000005</v>
      </c>
      <c r="G49" s="16">
        <f>(G33+G34+MIN(G43,(G33+G34)*(Assumptions!$C$55/(1-Assumptions!$C$55))))/((1-Assumptions!$C$59)/Assumptions!$C$59)</f>
        <v>1600000.0000000005</v>
      </c>
      <c r="H49" s="16">
        <f>(H33+H34+MIN(H43,(H33+H34)*(Assumptions!$C$55/(1-Assumptions!$C$55))))/((1-Assumptions!$C$59)/Assumptions!$C$59)</f>
        <v>1600000.0000000005</v>
      </c>
      <c r="I49" s="16">
        <f>(I33+I34+MIN(I43,(I33+I34)*(Assumptions!$C$55/(1-Assumptions!$C$55))))/((1-Assumptions!$C$59)/Assumptions!$C$59)</f>
        <v>1600000.0000000005</v>
      </c>
      <c r="J49" s="16">
        <f>(J33+J34+MIN(J43,(J33+J34)*(Assumptions!$C$55/(1-Assumptions!$C$55))))/((1-Assumptions!$C$59)/Assumptions!$C$59)</f>
        <v>1600000.0000000005</v>
      </c>
      <c r="K49" s="16">
        <f>(K33+K34+MIN(K43,(K33+K34)*(Assumptions!$C$55/(1-Assumptions!$C$55))))/((1-Assumptions!$C$59)/Assumptions!$C$59)</f>
        <v>0</v>
      </c>
      <c r="L49" s="16">
        <f>(L33+L34+MIN(L43,(L33+L34)*(Assumptions!$C$55/(1-Assumptions!$C$55))))/((1-Assumptions!$C$59)/Assumptions!$C$59)</f>
        <v>0</v>
      </c>
      <c r="M49" s="16">
        <f>(M33+M34+MIN(M43,(M33+M34)*(Assumptions!$C$55/(1-Assumptions!$C$55))))/((1-Assumptions!$C$59)/Assumptions!$C$59)</f>
        <v>0</v>
      </c>
      <c r="N49" s="16">
        <f>(N33+N34+MIN(N43,(N33+N34)*(Assumptions!$C$55/(1-Assumptions!$C$55))))/((1-Assumptions!$C$59)/Assumptions!$C$59)</f>
        <v>0</v>
      </c>
      <c r="O49" s="16">
        <f>(O33+O34+MIN(O43,(O33+O34)*(Assumptions!$C$55/(1-Assumptions!$C$55))))/((1-Assumptions!$C$59)/Assumptions!$C$59)</f>
        <v>0</v>
      </c>
      <c r="P49" s="16">
        <f>(P33+P34+MIN(P43,(P33+P34)*(Assumptions!$C$55/(1-Assumptions!$C$55))))/((1-Assumptions!$C$59)/Assumptions!$C$59)</f>
        <v>0</v>
      </c>
      <c r="Q49" s="16">
        <f>(Q33+Q34+MIN(Q43,(Q33+Q34)*(Assumptions!$C$55/(1-Assumptions!$C$55))))/((1-Assumptions!$C$59)/Assumptions!$C$59)</f>
        <v>0</v>
      </c>
      <c r="R49" s="16">
        <f>(R33+R34+MIN(R43,(R33+R34)*(Assumptions!$C$55/(1-Assumptions!$C$55))))/((1-Assumptions!$C$59)/Assumptions!$C$59)</f>
        <v>0</v>
      </c>
      <c r="S49" s="16">
        <f>(S33+S34+MIN(S43,(S33+S34)*(Assumptions!$C$55/(1-Assumptions!$C$55))))/((1-Assumptions!$C$59)/Assumptions!$C$59)</f>
        <v>0</v>
      </c>
      <c r="T49" s="16">
        <f>(T33+T34+MIN(T43,(T33+T34)*(Assumptions!$C$55/(1-Assumptions!$C$55))))/((1-Assumptions!$C$59)/Assumptions!$C$59)</f>
        <v>0</v>
      </c>
      <c r="U49" s="16">
        <f>(U33+U34+MIN(U43,(U33+U34)*(Assumptions!$C$55/(1-Assumptions!$C$55))))/((1-Assumptions!$C$59)/Assumptions!$C$59)</f>
        <v>0</v>
      </c>
      <c r="V49" s="16">
        <f>(V33+V34+MIN(V43,(V33+V34)*(Assumptions!$C$55/(1-Assumptions!$C$55))))/((1-Assumptions!$C$59)/Assumptions!$C$59)</f>
        <v>0</v>
      </c>
      <c r="W49" s="16">
        <f>(W33+W34+MIN(W43,(W33+W34)*(Assumptions!$C$55/(1-Assumptions!$C$55))))/((1-Assumptions!$C$59)/Assumptions!$C$59)</f>
        <v>0</v>
      </c>
      <c r="X49" s="16">
        <f>(X33+X34+MIN(X43,(X33+X34)*(Assumptions!$C$55/(1-Assumptions!$C$55))))/((1-Assumptions!$C$59)/Assumptions!$C$59)</f>
        <v>0</v>
      </c>
      <c r="Y49" s="16">
        <f>(Y33+Y34+MIN(Y43,(Y33+Y34)*(Assumptions!$C$55/(1-Assumptions!$C$55))))/((1-Assumptions!$C$59)/Assumptions!$C$59)</f>
        <v>0</v>
      </c>
    </row>
    <row r="50" spans="2:25" x14ac:dyDescent="0.3">
      <c r="B50" t="s">
        <v>80</v>
      </c>
      <c r="C50" s="18">
        <f>Assumptions!C59</f>
        <v>0.8</v>
      </c>
      <c r="E50" s="16">
        <f>E12*Assumptions!$C$59</f>
        <v>0</v>
      </c>
      <c r="F50" s="16">
        <f>F12*Assumptions!$C$59</f>
        <v>1600000.0000000005</v>
      </c>
      <c r="G50" s="16">
        <f>G12*Assumptions!$C$59</f>
        <v>1600000.0000000005</v>
      </c>
      <c r="H50" s="16">
        <f>H12*Assumptions!$C$59</f>
        <v>1600000.0000000005</v>
      </c>
      <c r="I50" s="16">
        <f>I12*Assumptions!$C$59</f>
        <v>1600000.0000000005</v>
      </c>
      <c r="J50" s="16">
        <f>J12*Assumptions!$C$59</f>
        <v>1600000.0000000005</v>
      </c>
      <c r="K50" s="16">
        <f>K12*Assumptions!$C$59</f>
        <v>0</v>
      </c>
      <c r="L50" s="16">
        <f>L12*Assumptions!$C$59</f>
        <v>0</v>
      </c>
      <c r="M50" s="16">
        <f>M12*Assumptions!$C$59</f>
        <v>0</v>
      </c>
      <c r="N50" s="16">
        <f>N12*Assumptions!$C$59</f>
        <v>0</v>
      </c>
      <c r="O50" s="16">
        <f>O12*Assumptions!$C$59</f>
        <v>0</v>
      </c>
      <c r="P50" s="16">
        <f>P12*Assumptions!$C$59</f>
        <v>1642549.334885661</v>
      </c>
      <c r="Q50" s="16">
        <f>Q12*Assumptions!$C$59</f>
        <v>0</v>
      </c>
      <c r="R50" s="16">
        <f>R12*Assumptions!$C$59</f>
        <v>1176146.4584634232</v>
      </c>
      <c r="S50" s="16">
        <f>S12*Assumptions!$C$59</f>
        <v>0</v>
      </c>
      <c r="T50" s="16">
        <f>T12*Assumptions!$C$59</f>
        <v>3104444.7971511218</v>
      </c>
      <c r="U50" s="16">
        <f>U12*Assumptions!$C$59</f>
        <v>1443125.8398800651</v>
      </c>
      <c r="V50" s="16">
        <f>V12*Assumptions!$C$59</f>
        <v>1097831.4360668098</v>
      </c>
      <c r="W50" s="16">
        <f>W12*Assumptions!$C$59</f>
        <v>3100515.8787301653</v>
      </c>
      <c r="X50" s="16">
        <f>X12*Assumptions!$C$59</f>
        <v>2628630.6118412283</v>
      </c>
      <c r="Y50" s="16">
        <f>Y12*Assumptions!$C$59</f>
        <v>2534590.6507828739</v>
      </c>
    </row>
    <row r="51" spans="2:25" x14ac:dyDescent="0.3">
      <c r="B51" t="s">
        <v>87</v>
      </c>
      <c r="C51" s="18"/>
      <c r="E51" s="16">
        <f>MIN(D55,E12-E82)</f>
        <v>0</v>
      </c>
      <c r="F51" s="16">
        <f t="shared" ref="F51:Y51" si="24">MIN(E55,F12-F82)</f>
        <v>0</v>
      </c>
      <c r="G51" s="16">
        <f t="shared" si="24"/>
        <v>0</v>
      </c>
      <c r="H51" s="16">
        <f t="shared" si="24"/>
        <v>0</v>
      </c>
      <c r="I51" s="16">
        <f t="shared" si="24"/>
        <v>0</v>
      </c>
      <c r="J51" s="16">
        <f t="shared" si="24"/>
        <v>0</v>
      </c>
      <c r="K51" s="16">
        <f t="shared" si="24"/>
        <v>0</v>
      </c>
      <c r="L51" s="16">
        <f t="shared" si="24"/>
        <v>0</v>
      </c>
      <c r="M51" s="16">
        <f t="shared" si="24"/>
        <v>0</v>
      </c>
      <c r="N51" s="16">
        <f t="shared" si="24"/>
        <v>0</v>
      </c>
      <c r="O51" s="16">
        <f t="shared" si="24"/>
        <v>0</v>
      </c>
      <c r="P51" s="16">
        <f>MIN(O55,P12-P82-P50)</f>
        <v>410637.33372141514</v>
      </c>
      <c r="Q51" s="16">
        <f t="shared" si="24"/>
        <v>0</v>
      </c>
      <c r="R51" s="16">
        <f t="shared" si="24"/>
        <v>294036.61461585574</v>
      </c>
      <c r="S51" s="16">
        <f t="shared" si="24"/>
        <v>0</v>
      </c>
      <c r="T51" s="16">
        <f t="shared" si="24"/>
        <v>352861.30613807216</v>
      </c>
      <c r="U51" s="16">
        <f t="shared" si="24"/>
        <v>0</v>
      </c>
      <c r="V51" s="16">
        <f t="shared" si="24"/>
        <v>0</v>
      </c>
      <c r="W51" s="16">
        <f t="shared" si="24"/>
        <v>428709.04455716908</v>
      </c>
      <c r="X51" s="16">
        <f t="shared" si="24"/>
        <v>0</v>
      </c>
      <c r="Y51" s="16">
        <f t="shared" si="24"/>
        <v>146552.08309162408</v>
      </c>
    </row>
    <row r="52" spans="2:25" x14ac:dyDescent="0.3">
      <c r="B52" t="s">
        <v>79</v>
      </c>
      <c r="C52" s="18"/>
      <c r="E52" s="16">
        <f>IF(D54&gt;Assumptions!$C$60,Assumptions!$C$62*Model!E48,0)</f>
        <v>0</v>
      </c>
      <c r="F52" s="16">
        <f>IF(E54&gt;Assumptions!$C$60,Assumptions!$C$62*Model!F48,0)</f>
        <v>0</v>
      </c>
      <c r="G52" s="16">
        <f>IF(F54&gt;Assumptions!$C$60,Assumptions!$C$62*Model!G48,0)</f>
        <v>24000.000000000007</v>
      </c>
      <c r="H52" s="16">
        <f>IF(G54&gt;Assumptions!$C$60,Assumptions!$C$62*Model!H48,0)</f>
        <v>47640.000000000015</v>
      </c>
      <c r="I52" s="16">
        <f>IF(H54&gt;Assumptions!$C$60,Assumptions!$C$62*Model!I48,0)</f>
        <v>70925.400000000023</v>
      </c>
      <c r="J52" s="16">
        <f>IF(I54&gt;Assumptions!$C$60,Assumptions!$C$62*Model!J48,0)</f>
        <v>93861.519000000015</v>
      </c>
      <c r="K52" s="16">
        <f>IF(J54&gt;Assumptions!$C$60,Assumptions!$C$62*Model!K48,0)</f>
        <v>116453.59621500001</v>
      </c>
      <c r="L52" s="16">
        <f>IF(K54&gt;Assumptions!$C$60,Assumptions!$C$62*Model!L48,0)</f>
        <v>114706.792271775</v>
      </c>
      <c r="M52" s="16">
        <f>IF(L54&gt;Assumptions!$C$60,Assumptions!$C$62*Model!M48,0)</f>
        <v>112986.19038769839</v>
      </c>
      <c r="N52" s="16">
        <f>IF(M54&gt;Assumptions!$C$60,Assumptions!$C$62*Model!N48,0)</f>
        <v>111291.3975318829</v>
      </c>
      <c r="O52" s="16">
        <f>IF(N54&gt;Assumptions!$C$60,Assumptions!$C$62*Model!O48,0)</f>
        <v>0</v>
      </c>
      <c r="P52" s="16">
        <f>IF(O54&gt;Assumptions!$C$60,Assumptions!$C$62*Model!P48,0)</f>
        <v>0</v>
      </c>
      <c r="Q52" s="16">
        <f>IF(P54&gt;Assumptions!$C$60,Assumptions!$C$62*Model!Q48,0)</f>
        <v>140419.82659801081</v>
      </c>
      <c r="R52" s="16">
        <f>IF(Q54&gt;Assumptions!$C$60,Assumptions!$C$62*Model!R48,0)</f>
        <v>0</v>
      </c>
      <c r="S52" s="16">
        <f>IF(R54&gt;Assumptions!$C$60,Assumptions!$C$62*Model!S48,0)</f>
        <v>0</v>
      </c>
      <c r="T52" s="16">
        <f>IF(S54&gt;Assumptions!$C$60,Assumptions!$C$62*Model!T48,0)</f>
        <v>0</v>
      </c>
      <c r="U52" s="16">
        <f>IF(T54&gt;Assumptions!$C$60,Assumptions!$C$62*Model!U48,0)</f>
        <v>212225.86684456773</v>
      </c>
      <c r="V52" s="16">
        <f>IF(U54&gt;Assumptions!$C$60,Assumptions!$C$62*Model!V48,0)</f>
        <v>230689.36644010019</v>
      </c>
      <c r="W52" s="16">
        <f>IF(V54&gt;Assumptions!$C$60,Assumptions!$C$62*Model!W48,0)</f>
        <v>0</v>
      </c>
      <c r="X52" s="16">
        <f>IF(W54&gt;Assumptions!$C$60,Assumptions!$C$62*Model!X48,0)</f>
        <v>296634.87133381085</v>
      </c>
      <c r="Y52" s="16">
        <f>IF(X54&gt;Assumptions!$C$60,Assumptions!$C$62*Model!Y48,0)</f>
        <v>0</v>
      </c>
    </row>
    <row r="53" spans="2:25" x14ac:dyDescent="0.3">
      <c r="B53" t="s">
        <v>28</v>
      </c>
      <c r="E53" s="16">
        <f>E48+E50-E52+E51</f>
        <v>0</v>
      </c>
      <c r="F53" s="16">
        <f t="shared" ref="F53:Y53" si="25">F48+F50-F52+F51</f>
        <v>1600000.0000000005</v>
      </c>
      <c r="G53" s="16">
        <f t="shared" si="25"/>
        <v>3176000.0000000009</v>
      </c>
      <c r="H53" s="16">
        <f t="shared" si="25"/>
        <v>4728360.0000000019</v>
      </c>
      <c r="I53" s="16">
        <f t="shared" si="25"/>
        <v>6257434.6000000015</v>
      </c>
      <c r="J53" s="16">
        <f t="shared" si="25"/>
        <v>7763573.0810000012</v>
      </c>
      <c r="K53" s="16">
        <f t="shared" si="25"/>
        <v>7647119.4847850008</v>
      </c>
      <c r="L53" s="16">
        <f t="shared" si="25"/>
        <v>7532412.6925132256</v>
      </c>
      <c r="M53" s="16">
        <f t="shared" si="25"/>
        <v>7419426.5021255268</v>
      </c>
      <c r="N53" s="16">
        <f t="shared" si="25"/>
        <v>7308135.1045936439</v>
      </c>
      <c r="O53" s="16">
        <f t="shared" si="25"/>
        <v>7308135.1045936439</v>
      </c>
      <c r="P53" s="16">
        <f t="shared" si="25"/>
        <v>9361321.7732007205</v>
      </c>
      <c r="Q53" s="16">
        <f t="shared" si="25"/>
        <v>9220901.9466027096</v>
      </c>
      <c r="R53" s="16">
        <f t="shared" si="25"/>
        <v>10691085.019681988</v>
      </c>
      <c r="S53" s="16">
        <f t="shared" si="25"/>
        <v>10691085.019681988</v>
      </c>
      <c r="T53" s="16">
        <f t="shared" si="25"/>
        <v>14148391.122971183</v>
      </c>
      <c r="U53" s="16">
        <f t="shared" si="25"/>
        <v>15379291.09600668</v>
      </c>
      <c r="V53" s="16">
        <f t="shared" si="25"/>
        <v>16246433.16563339</v>
      </c>
      <c r="W53" s="16">
        <f t="shared" si="25"/>
        <v>19775658.088920724</v>
      </c>
      <c r="X53" s="16">
        <f t="shared" si="25"/>
        <v>22107653.82942814</v>
      </c>
      <c r="Y53" s="16">
        <f t="shared" si="25"/>
        <v>24788796.563302636</v>
      </c>
    </row>
    <row r="54" spans="2:25" x14ac:dyDescent="0.3">
      <c r="B54" s="21" t="s">
        <v>37</v>
      </c>
      <c r="F54" s="11">
        <f t="shared" ref="F54:Y54" si="26">IFERROR(F53/F27,"")</f>
        <v>0.8292682926829269</v>
      </c>
      <c r="G54" s="11">
        <f t="shared" si="26"/>
        <v>0.81088549801754184</v>
      </c>
      <c r="H54" s="11">
        <f t="shared" si="26"/>
        <v>0.79286757586589762</v>
      </c>
      <c r="I54" s="11">
        <f t="shared" si="26"/>
        <v>0.77520834602921596</v>
      </c>
      <c r="J54" s="11">
        <f t="shared" si="26"/>
        <v>0.7579017123033438</v>
      </c>
      <c r="K54" s="11">
        <f t="shared" si="26"/>
        <v>0.72478950157164423</v>
      </c>
      <c r="L54" s="11">
        <f t="shared" si="26"/>
        <v>0.69312394082336848</v>
      </c>
      <c r="M54" s="11">
        <f t="shared" si="26"/>
        <v>0.66284182690390081</v>
      </c>
      <c r="N54" s="11">
        <f t="shared" si="26"/>
        <v>0.63388271796149742</v>
      </c>
      <c r="O54" s="11">
        <f t="shared" si="26"/>
        <v>0.61542011452572565</v>
      </c>
      <c r="P54" s="11">
        <f t="shared" si="26"/>
        <v>0.65869105584169174</v>
      </c>
      <c r="Q54" s="11">
        <f t="shared" si="26"/>
        <v>0.62991329126608375</v>
      </c>
      <c r="R54" s="11">
        <f t="shared" si="26"/>
        <v>0.64810903725083091</v>
      </c>
      <c r="S54" s="11">
        <f t="shared" si="26"/>
        <v>0.6292320750008068</v>
      </c>
      <c r="T54" s="11">
        <f t="shared" si="26"/>
        <v>0.66599460979107228</v>
      </c>
      <c r="U54" s="11">
        <f t="shared" si="26"/>
        <v>0.6510700166695258</v>
      </c>
      <c r="V54" s="11">
        <f t="shared" si="26"/>
        <v>0.63328884542934438</v>
      </c>
      <c r="W54" s="11">
        <f t="shared" si="26"/>
        <v>0.65563627231969035</v>
      </c>
      <c r="X54" s="11">
        <f t="shared" si="26"/>
        <v>0.64571951233020786</v>
      </c>
      <c r="Y54" s="11">
        <f t="shared" si="26"/>
        <v>0.64687617707414569</v>
      </c>
    </row>
    <row r="55" spans="2:25" x14ac:dyDescent="0.3">
      <c r="B55" s="21" t="s">
        <v>86</v>
      </c>
      <c r="D55" s="22">
        <v>0</v>
      </c>
      <c r="E55" s="22">
        <v>0</v>
      </c>
      <c r="F55" s="22">
        <v>0</v>
      </c>
      <c r="G55" s="22">
        <f>MAX(0,Model!G27*Assumptions!$C$60-Model!G53)</f>
        <v>0</v>
      </c>
      <c r="H55" s="22">
        <f>MAX(0,Model!H27*Assumptions!$C$60-Model!H53)</f>
        <v>0</v>
      </c>
      <c r="I55" s="22">
        <f>MAX(0,Model!I27*Assumptions!$C$60-Model!I53)</f>
        <v>0</v>
      </c>
      <c r="J55" s="22">
        <f>MAX(0,Model!J27*Assumptions!$C$60-Model!J53)</f>
        <v>0</v>
      </c>
      <c r="K55" s="22">
        <f>MAX(0,Model!K27*Assumptions!$C$60-Model!K53)</f>
        <v>0</v>
      </c>
      <c r="L55" s="22">
        <f>MAX(0,Model!L27*Assumptions!$C$60-Model!L53)</f>
        <v>0</v>
      </c>
      <c r="M55" s="22">
        <f>MAX(0,Model!M27*Assumptions!$C$60-Model!M53)</f>
        <v>0</v>
      </c>
      <c r="N55" s="22">
        <f>MAX(0,Model!N27*Assumptions!$C$60-Model!N53)</f>
        <v>185818.71901321039</v>
      </c>
      <c r="O55" s="22">
        <f>MAX(0,Model!O27*Assumptions!$C$60-Model!O53)</f>
        <v>410637.33372141514</v>
      </c>
      <c r="P55" s="22">
        <f>MAX(0,Model!P27*Assumptions!$C$60-Model!P53)</f>
        <v>0</v>
      </c>
      <c r="Q55" s="22">
        <f>MAX(0,Model!Q27*Assumptions!$C$60-Model!Q53)</f>
        <v>294036.61461585574</v>
      </c>
      <c r="R55" s="22">
        <f>MAX(0,Model!R27*Assumptions!$C$60-Model!R53)</f>
        <v>31192.966551080346</v>
      </c>
      <c r="S55" s="22">
        <f>MAX(0,Model!S27*Assumptions!$C$60-Model!S53)</f>
        <v>352861.30613807216</v>
      </c>
      <c r="T55" s="22">
        <f>MAX(0,Model!T27*Assumptions!$C$60-Model!T53)</f>
        <v>0</v>
      </c>
      <c r="U55" s="22">
        <f>MAX(0,Model!U27*Assumptions!$C$60-Model!U53)</f>
        <v>0</v>
      </c>
      <c r="V55" s="22">
        <f>MAX(0,Model!V27*Assumptions!$C$60-Model!V53)</f>
        <v>428709.04455716908</v>
      </c>
      <c r="W55" s="22">
        <f>MAX(0,Model!W27*Assumptions!$C$60-Model!W53)</f>
        <v>0</v>
      </c>
      <c r="X55" s="22">
        <f>MAX(0,Model!X27*Assumptions!$C$60-Model!X53)</f>
        <v>146552.08309162408</v>
      </c>
      <c r="Y55" s="22">
        <f>MAX(0,Model!Y27*Assumptions!$C$60-Model!Y53)</f>
        <v>119707.31610341743</v>
      </c>
    </row>
    <row r="56" spans="2:25" x14ac:dyDescent="0.3">
      <c r="B56" t="s">
        <v>84</v>
      </c>
      <c r="E56" s="16">
        <f>E50*Assumptions!$C$63</f>
        <v>0</v>
      </c>
      <c r="F56" s="16">
        <f>F50*Assumptions!$C$63</f>
        <v>32000.000000000011</v>
      </c>
      <c r="G56" s="16">
        <f>G50*Assumptions!$C$63</f>
        <v>32000.000000000011</v>
      </c>
      <c r="H56" s="16">
        <f>H50*Assumptions!$C$63</f>
        <v>32000.000000000011</v>
      </c>
      <c r="I56" s="16">
        <f>I50*Assumptions!$C$63</f>
        <v>32000.000000000011</v>
      </c>
      <c r="J56" s="16">
        <f>J50*Assumptions!$C$63</f>
        <v>32000.000000000011</v>
      </c>
      <c r="K56" s="16">
        <f>K50*Assumptions!$C$63</f>
        <v>0</v>
      </c>
      <c r="L56" s="16">
        <f>L50*Assumptions!$C$63</f>
        <v>0</v>
      </c>
      <c r="M56" s="16">
        <f>M50*Assumptions!$C$63</f>
        <v>0</v>
      </c>
      <c r="N56" s="16">
        <f>N50*Assumptions!$C$63</f>
        <v>0</v>
      </c>
      <c r="O56" s="16">
        <f>O50*Assumptions!$C$63</f>
        <v>0</v>
      </c>
      <c r="P56" s="16">
        <f>P50*Assumptions!$C$63</f>
        <v>32850.986697713219</v>
      </c>
      <c r="Q56" s="16">
        <f>Q50*Assumptions!$C$63</f>
        <v>0</v>
      </c>
      <c r="R56" s="16">
        <f>R50*Assumptions!$C$63</f>
        <v>23522.929169268464</v>
      </c>
      <c r="S56" s="16">
        <f>S50*Assumptions!$C$63</f>
        <v>0</v>
      </c>
      <c r="T56" s="16">
        <f>T50*Assumptions!$C$63</f>
        <v>62088.895943022435</v>
      </c>
      <c r="U56" s="16">
        <f>U50*Assumptions!$C$63</f>
        <v>28862.516797601304</v>
      </c>
      <c r="V56" s="16">
        <f>V50*Assumptions!$C$63</f>
        <v>21956.628721336197</v>
      </c>
      <c r="W56" s="16">
        <f>W50*Assumptions!$C$63</f>
        <v>62010.317574603308</v>
      </c>
      <c r="X56" s="16">
        <f>X50*Assumptions!$C$63</f>
        <v>52572.612236824571</v>
      </c>
      <c r="Y56" s="16">
        <f>Y50*Assumptions!$C$63</f>
        <v>50691.813015657477</v>
      </c>
    </row>
    <row r="57" spans="2:25" x14ac:dyDescent="0.3">
      <c r="E57" s="2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2:25" x14ac:dyDescent="0.3">
      <c r="B58" s="4" t="s">
        <v>82</v>
      </c>
      <c r="E58" s="2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2:25" x14ac:dyDescent="0.3">
      <c r="E59" s="2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2:25" x14ac:dyDescent="0.3">
      <c r="B60" t="s">
        <v>81</v>
      </c>
      <c r="E60" s="16">
        <f>E29</f>
        <v>0</v>
      </c>
      <c r="F60" s="16">
        <f t="shared" ref="F60:Y60" si="27">F29</f>
        <v>0</v>
      </c>
      <c r="G60" s="16">
        <f t="shared" si="27"/>
        <v>178856.47058823533</v>
      </c>
      <c r="H60" s="16">
        <f t="shared" si="27"/>
        <v>363078.63529411773</v>
      </c>
      <c r="I60" s="16">
        <f t="shared" si="27"/>
        <v>552827.4649411767</v>
      </c>
      <c r="J60" s="16">
        <f t="shared" si="27"/>
        <v>748268.75947764725</v>
      </c>
      <c r="K60" s="16">
        <f t="shared" si="27"/>
        <v>949573.29285021196</v>
      </c>
      <c r="L60" s="16">
        <f t="shared" si="27"/>
        <v>978060.49163571827</v>
      </c>
      <c r="M60" s="16">
        <f t="shared" si="27"/>
        <v>1007402.30638479</v>
      </c>
      <c r="N60" s="16">
        <f t="shared" si="27"/>
        <v>1037624.3755763337</v>
      </c>
      <c r="O60" s="16">
        <f t="shared" si="27"/>
        <v>1068753.1068436236</v>
      </c>
      <c r="P60" s="16">
        <f t="shared" si="27"/>
        <v>1100815.7000489323</v>
      </c>
      <c r="Q60" s="16">
        <f t="shared" si="27"/>
        <v>1317453.0315533397</v>
      </c>
      <c r="R60" s="16">
        <f t="shared" si="27"/>
        <v>1356976.62249994</v>
      </c>
      <c r="S60" s="16">
        <f t="shared" si="27"/>
        <v>1529161.7989597009</v>
      </c>
      <c r="T60" s="16">
        <f t="shared" si="27"/>
        <v>1575036.6529284921</v>
      </c>
      <c r="U60" s="16">
        <f t="shared" si="27"/>
        <v>1969319.0272378842</v>
      </c>
      <c r="V60" s="16">
        <f t="shared" si="27"/>
        <v>2189718.8445147905</v>
      </c>
      <c r="W60" s="16">
        <f t="shared" si="27"/>
        <v>2378131.8198225615</v>
      </c>
      <c r="X60" s="16">
        <f t="shared" si="27"/>
        <v>2796067.853837525</v>
      </c>
      <c r="Y60" s="16">
        <f t="shared" si="27"/>
        <v>3173792.135523973</v>
      </c>
    </row>
    <row r="61" spans="2:25" x14ac:dyDescent="0.3">
      <c r="B61" t="s">
        <v>83</v>
      </c>
      <c r="E61" s="16">
        <f>E48*Assumptions!$C$61*-1</f>
        <v>0</v>
      </c>
      <c r="F61" s="16">
        <f>F48*Assumptions!$C$61*-1</f>
        <v>0</v>
      </c>
      <c r="G61" s="16">
        <f>G48*Assumptions!$C$61*-1</f>
        <v>-104000.00000000003</v>
      </c>
      <c r="H61" s="16">
        <f>H48*Assumptions!$C$61*-1</f>
        <v>-206440.00000000006</v>
      </c>
      <c r="I61" s="16">
        <f>I48*Assumptions!$C$61*-1</f>
        <v>-307343.40000000014</v>
      </c>
      <c r="J61" s="16">
        <f>J48*Assumptions!$C$61*-1</f>
        <v>-406733.24900000013</v>
      </c>
      <c r="K61" s="16">
        <f>K48*Assumptions!$C$61*-1</f>
        <v>-504632.2502650001</v>
      </c>
      <c r="L61" s="16">
        <f>L48*Assumptions!$C$61*-1</f>
        <v>-497062.76651102508</v>
      </c>
      <c r="M61" s="16">
        <f>M48*Assumptions!$C$61*-1</f>
        <v>-489606.82501335966</v>
      </c>
      <c r="N61" s="16">
        <f>N48*Assumptions!$C$61*-1</f>
        <v>-482262.72263815923</v>
      </c>
      <c r="O61" s="16">
        <f>O48*Assumptions!$C$61*-1</f>
        <v>-475028.78179858689</v>
      </c>
      <c r="P61" s="16">
        <f>P48*Assumptions!$C$61*-1</f>
        <v>-475028.78179858689</v>
      </c>
      <c r="Q61" s="16">
        <f>Q48*Assumptions!$C$61*-1</f>
        <v>-608485.91525804682</v>
      </c>
      <c r="R61" s="16">
        <f>R48*Assumptions!$C$61*-1</f>
        <v>-599358.62652917614</v>
      </c>
      <c r="S61" s="16">
        <f>S48*Assumptions!$C$61*-1</f>
        <v>-694920.52627932921</v>
      </c>
      <c r="T61" s="16">
        <f>T48*Assumptions!$C$61*-1</f>
        <v>-694920.52627932921</v>
      </c>
      <c r="U61" s="16">
        <f>U48*Assumptions!$C$61*-1</f>
        <v>-919645.42299312691</v>
      </c>
      <c r="V61" s="16">
        <f>V48*Assumptions!$C$61*-1</f>
        <v>-999653.92124043428</v>
      </c>
      <c r="W61" s="16">
        <f>W48*Assumptions!$C$61*-1</f>
        <v>-1056018.1557661705</v>
      </c>
      <c r="X61" s="16">
        <f>X48*Assumptions!$C$61*-1</f>
        <v>-1285417.7757798471</v>
      </c>
      <c r="Y61" s="16">
        <f>Y48*Assumptions!$C$61*-1</f>
        <v>-1436997.4989128292</v>
      </c>
    </row>
    <row r="62" spans="2:25" x14ac:dyDescent="0.3">
      <c r="B62" t="s">
        <v>79</v>
      </c>
      <c r="E62" s="16">
        <f>E52*-1</f>
        <v>0</v>
      </c>
      <c r="F62" s="16">
        <f t="shared" ref="F62:Y62" si="28">F52*-1</f>
        <v>0</v>
      </c>
      <c r="G62" s="16">
        <f t="shared" si="28"/>
        <v>-24000.000000000007</v>
      </c>
      <c r="H62" s="16">
        <f t="shared" si="28"/>
        <v>-47640.000000000015</v>
      </c>
      <c r="I62" s="16">
        <f t="shared" si="28"/>
        <v>-70925.400000000023</v>
      </c>
      <c r="J62" s="16">
        <f t="shared" si="28"/>
        <v>-93861.519000000015</v>
      </c>
      <c r="K62" s="16">
        <f t="shared" si="28"/>
        <v>-116453.59621500001</v>
      </c>
      <c r="L62" s="16">
        <f t="shared" si="28"/>
        <v>-114706.792271775</v>
      </c>
      <c r="M62" s="16">
        <f t="shared" si="28"/>
        <v>-112986.19038769839</v>
      </c>
      <c r="N62" s="16">
        <f t="shared" si="28"/>
        <v>-111291.3975318829</v>
      </c>
      <c r="O62" s="16">
        <f t="shared" si="28"/>
        <v>0</v>
      </c>
      <c r="P62" s="16">
        <f t="shared" si="28"/>
        <v>0</v>
      </c>
      <c r="Q62" s="16">
        <f t="shared" si="28"/>
        <v>-140419.82659801081</v>
      </c>
      <c r="R62" s="16">
        <f t="shared" si="28"/>
        <v>0</v>
      </c>
      <c r="S62" s="16">
        <f t="shared" si="28"/>
        <v>0</v>
      </c>
      <c r="T62" s="16">
        <f t="shared" si="28"/>
        <v>0</v>
      </c>
      <c r="U62" s="16">
        <f t="shared" si="28"/>
        <v>-212225.86684456773</v>
      </c>
      <c r="V62" s="16">
        <f t="shared" si="28"/>
        <v>-230689.36644010019</v>
      </c>
      <c r="W62" s="16">
        <f t="shared" si="28"/>
        <v>0</v>
      </c>
      <c r="X62" s="16">
        <f t="shared" si="28"/>
        <v>-296634.87133381085</v>
      </c>
      <c r="Y62" s="16">
        <f t="shared" si="28"/>
        <v>0</v>
      </c>
    </row>
    <row r="63" spans="2:25" x14ac:dyDescent="0.3">
      <c r="B63" s="15" t="s">
        <v>85</v>
      </c>
      <c r="E63" s="19">
        <f t="shared" ref="E63:Y63" si="29">SUM(E60:E62)</f>
        <v>0</v>
      </c>
      <c r="F63" s="19">
        <f t="shared" si="29"/>
        <v>0</v>
      </c>
      <c r="G63" s="19">
        <f t="shared" si="29"/>
        <v>50856.470588235294</v>
      </c>
      <c r="H63" s="19">
        <f t="shared" si="29"/>
        <v>108998.63529411766</v>
      </c>
      <c r="I63" s="19">
        <f t="shared" si="29"/>
        <v>174558.66494117654</v>
      </c>
      <c r="J63" s="19">
        <f t="shared" si="29"/>
        <v>247673.9914776471</v>
      </c>
      <c r="K63" s="19">
        <f t="shared" si="29"/>
        <v>328487.44637021184</v>
      </c>
      <c r="L63" s="19">
        <f t="shared" si="29"/>
        <v>366290.93285291817</v>
      </c>
      <c r="M63" s="19">
        <f t="shared" si="29"/>
        <v>404809.29098373197</v>
      </c>
      <c r="N63" s="19">
        <f t="shared" si="29"/>
        <v>444070.25540629163</v>
      </c>
      <c r="O63" s="19">
        <f t="shared" si="29"/>
        <v>593724.32504503662</v>
      </c>
      <c r="P63" s="19">
        <f t="shared" si="29"/>
        <v>625786.91825034539</v>
      </c>
      <c r="Q63" s="19">
        <f t="shared" si="29"/>
        <v>568547.28969728202</v>
      </c>
      <c r="R63" s="19">
        <f t="shared" si="29"/>
        <v>757617.99597076385</v>
      </c>
      <c r="S63" s="19">
        <f t="shared" si="29"/>
        <v>834241.27268037165</v>
      </c>
      <c r="T63" s="19">
        <f t="shared" si="29"/>
        <v>880116.12664916285</v>
      </c>
      <c r="U63" s="19">
        <f t="shared" si="29"/>
        <v>837447.73740018974</v>
      </c>
      <c r="V63" s="19">
        <f t="shared" si="29"/>
        <v>959375.55683425604</v>
      </c>
      <c r="W63" s="19">
        <f t="shared" si="29"/>
        <v>1322113.664056391</v>
      </c>
      <c r="X63" s="19">
        <f t="shared" si="29"/>
        <v>1214015.206723867</v>
      </c>
      <c r="Y63" s="19">
        <f t="shared" si="29"/>
        <v>1736794.6366111438</v>
      </c>
    </row>
    <row r="64" spans="2:25" x14ac:dyDescent="0.3">
      <c r="E64" s="2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25" x14ac:dyDescent="0.3">
      <c r="B65" t="s">
        <v>140</v>
      </c>
      <c r="E65" s="16">
        <f>E42*Assumptions!$C$54*-1</f>
        <v>0</v>
      </c>
      <c r="F65" s="16">
        <f>F42*Assumptions!$C$54*-1</f>
        <v>0</v>
      </c>
      <c r="G65" s="16">
        <f>G42*Assumptions!$C$54*-1</f>
        <v>-4800</v>
      </c>
      <c r="H65" s="16">
        <f>H42*Assumptions!$C$54*-1</f>
        <v>-9321.7176470588238</v>
      </c>
      <c r="I65" s="16">
        <f>I42*Assumptions!$C$54*-1</f>
        <v>-13530.115882352942</v>
      </c>
      <c r="J65" s="16">
        <f>J42*Assumptions!$C$54*-1</f>
        <v>-17389.671978235296</v>
      </c>
      <c r="K65" s="16">
        <f>K42*Assumptions!$C$54*-1</f>
        <v>-20864.35366095588</v>
      </c>
      <c r="L65" s="16">
        <f>L42*Assumptions!$C$54*-1</f>
        <v>-19117.594660800038</v>
      </c>
      <c r="M65" s="16">
        <f>M42*Assumptions!$C$54*-1</f>
        <v>-17190.552023231448</v>
      </c>
      <c r="N65" s="16">
        <f>N42*Assumptions!$C$54*-1</f>
        <v>-15080.552808196631</v>
      </c>
      <c r="O65" s="16">
        <f>O42*Assumptions!$C$54*-1</f>
        <v>-12784.798767124188</v>
      </c>
      <c r="P65" s="16">
        <f>P42*Assumptions!$C$54*-1</f>
        <v>-9752.2531480633843</v>
      </c>
      <c r="Q65" s="16">
        <f>Q42*Assumptions!$C$54*-1</f>
        <v>-6574.5572910713408</v>
      </c>
      <c r="R65" s="16">
        <f>R42*Assumptions!$C$54*-1</f>
        <v>-3698.9480561295736</v>
      </c>
      <c r="S65" s="16">
        <f>S42*Assumptions!$C$54*-1</f>
        <v>0</v>
      </c>
      <c r="T65" s="16">
        <f>T42*Assumptions!$C$54*-1</f>
        <v>0</v>
      </c>
      <c r="U65" s="16">
        <f>U42*Assumptions!$C$54*-1</f>
        <v>0</v>
      </c>
      <c r="V65" s="16">
        <f>V42*Assumptions!$C$54*-1</f>
        <v>0</v>
      </c>
      <c r="W65" s="16">
        <f>W42*Assumptions!$C$54*-1</f>
        <v>0</v>
      </c>
      <c r="X65" s="16">
        <f>X42*Assumptions!$C$54*-1</f>
        <v>0</v>
      </c>
      <c r="Y65" s="16">
        <f>Y42*Assumptions!$C$54*-1</f>
        <v>0</v>
      </c>
    </row>
    <row r="66" spans="2:25" x14ac:dyDescent="0.3">
      <c r="B66" t="s">
        <v>138</v>
      </c>
      <c r="E66" s="16">
        <f>MAX(0,MIN(E42,(E63-E65)*Assumptions!$C$56))*-1</f>
        <v>0</v>
      </c>
      <c r="F66" s="16">
        <f>MAX(0,MIN(F42,(F63-F65)*Assumptions!$C$56))*-1</f>
        <v>0</v>
      </c>
      <c r="G66" s="16">
        <f>MAX(0,MIN(G42,(G63-G65)*Assumptions!$C$56))*-1</f>
        <v>-13914.117647058823</v>
      </c>
      <c r="H66" s="16">
        <f>MAX(0,MIN(H42,(H63-H65)*Assumptions!$C$56))*-1</f>
        <v>-29580.088235294119</v>
      </c>
      <c r="I66" s="16">
        <f>MAX(0,MIN(I42,(I63-I65)*Assumptions!$C$56))*-1</f>
        <v>-47022.195205882374</v>
      </c>
      <c r="J66" s="16">
        <f>MAX(0,MIN(J42,(J63-J65)*Assumptions!$C$56))*-1</f>
        <v>-66265.9158639706</v>
      </c>
      <c r="K66" s="16">
        <f>MAX(0,MIN(K42,(K63-K65)*Assumptions!$C$56))*-1</f>
        <v>-87337.950007791922</v>
      </c>
      <c r="L66" s="16">
        <f>MAX(0,MIN(L42,(L63-L65)*Assumptions!$C$56))*-1</f>
        <v>-96352.131878429558</v>
      </c>
      <c r="M66" s="16">
        <f>MAX(0,MIN(M42,(M63-M65)*Assumptions!$C$56))*-1</f>
        <v>-105499.96075174086</v>
      </c>
      <c r="N66" s="16">
        <f>MAX(0,MIN(N42,(N63-N65)*Assumptions!$C$56))*-1</f>
        <v>-114787.70205362207</v>
      </c>
      <c r="O66" s="16">
        <f>MAX(0,MIN(O42,(O63-O65)*Assumptions!$C$56))*-1</f>
        <v>-151627.2809530402</v>
      </c>
      <c r="P66" s="16">
        <f>MAX(0,MIN(P42,(P63-P65)*Assumptions!$C$56))*-1</f>
        <v>-158884.79284960221</v>
      </c>
      <c r="Q66" s="16">
        <f>MAX(0,MIN(Q42,(Q63-Q65)*Assumptions!$C$56))*-1</f>
        <v>-143780.46174708835</v>
      </c>
      <c r="R66" s="16">
        <f>MAX(0,MIN(R42,(R63-R65)*Assumptions!$C$56))*-1</f>
        <v>-184947.40280647867</v>
      </c>
      <c r="S66" s="16">
        <f>MAX(0,MIN(S42,(S63-S65)*Assumptions!$C$56))*-1</f>
        <v>0</v>
      </c>
      <c r="T66" s="16">
        <f>MAX(0,MIN(T42,(T63-T65)*Assumptions!$C$56))*-1</f>
        <v>0</v>
      </c>
      <c r="U66" s="16">
        <f>MAX(0,MIN(U42,(U63-U65)*Assumptions!$C$56))*-1</f>
        <v>0</v>
      </c>
      <c r="V66" s="16">
        <f>MAX(0,MIN(V42,(V63-V65)*Assumptions!$C$56))*-1</f>
        <v>0</v>
      </c>
      <c r="W66" s="16">
        <f>MAX(0,MIN(W42,(W63-W65)*Assumptions!$C$56))*-1</f>
        <v>0</v>
      </c>
      <c r="X66" s="16">
        <f>MAX(0,MIN(X42,(X63-X65)*Assumptions!$C$56))*-1</f>
        <v>0</v>
      </c>
      <c r="Y66" s="16">
        <f>MAX(0,MIN(Y42,(Y63-Y65)*Assumptions!$C$56))*-1</f>
        <v>0</v>
      </c>
    </row>
    <row r="67" spans="2:25" x14ac:dyDescent="0.3">
      <c r="E67" s="2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2:25" x14ac:dyDescent="0.3">
      <c r="B68" s="15" t="s">
        <v>141</v>
      </c>
      <c r="E68" s="19">
        <f>E63+SUM(E65:E67)</f>
        <v>0</v>
      </c>
      <c r="F68" s="19">
        <f t="shared" ref="F68:Y68" si="30">F63+SUM(F65:F67)</f>
        <v>0</v>
      </c>
      <c r="G68" s="19">
        <f t="shared" si="30"/>
        <v>32142.352941176468</v>
      </c>
      <c r="H68" s="19">
        <f t="shared" si="30"/>
        <v>70096.829411764716</v>
      </c>
      <c r="I68" s="19">
        <f t="shared" si="30"/>
        <v>114006.35385294122</v>
      </c>
      <c r="J68" s="19">
        <f t="shared" si="30"/>
        <v>164018.40363544121</v>
      </c>
      <c r="K68" s="19">
        <f t="shared" si="30"/>
        <v>220285.14270146404</v>
      </c>
      <c r="L68" s="19">
        <f t="shared" si="30"/>
        <v>250821.20631368857</v>
      </c>
      <c r="M68" s="19">
        <f t="shared" si="30"/>
        <v>282118.77820875967</v>
      </c>
      <c r="N68" s="19">
        <f t="shared" si="30"/>
        <v>314202.00054447295</v>
      </c>
      <c r="O68" s="19">
        <f t="shared" si="30"/>
        <v>429312.2453248722</v>
      </c>
      <c r="P68" s="19">
        <f t="shared" si="30"/>
        <v>457149.87225267978</v>
      </c>
      <c r="Q68" s="19">
        <f t="shared" si="30"/>
        <v>418192.27065912233</v>
      </c>
      <c r="R68" s="19">
        <f t="shared" si="30"/>
        <v>568971.64510815567</v>
      </c>
      <c r="S68" s="19">
        <f t="shared" si="30"/>
        <v>834241.27268037165</v>
      </c>
      <c r="T68" s="19">
        <f t="shared" si="30"/>
        <v>880116.12664916285</v>
      </c>
      <c r="U68" s="19">
        <f t="shared" si="30"/>
        <v>837447.73740018974</v>
      </c>
      <c r="V68" s="19">
        <f t="shared" si="30"/>
        <v>959375.55683425604</v>
      </c>
      <c r="W68" s="19">
        <f t="shared" si="30"/>
        <v>1322113.664056391</v>
      </c>
      <c r="X68" s="19">
        <f t="shared" si="30"/>
        <v>1214015.206723867</v>
      </c>
      <c r="Y68" s="19">
        <f t="shared" si="30"/>
        <v>1736794.6366111438</v>
      </c>
    </row>
    <row r="69" spans="2:25" x14ac:dyDescent="0.3">
      <c r="E69" s="2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2:25" x14ac:dyDescent="0.3">
      <c r="B70" t="s">
        <v>106</v>
      </c>
      <c r="E70" s="16">
        <v>0</v>
      </c>
      <c r="F70" s="16">
        <f>Assumptions!$C$66*-1*F99</f>
        <v>-154500</v>
      </c>
      <c r="G70" s="16">
        <f>Assumptions!$C$66*-1*G99</f>
        <v>-159135</v>
      </c>
      <c r="H70" s="16">
        <f>Assumptions!$C$66*-1*H99</f>
        <v>-163909.04999999999</v>
      </c>
      <c r="I70" s="16">
        <f>Assumptions!$C$66*-1*I99</f>
        <v>-168826.32150000002</v>
      </c>
      <c r="J70" s="16">
        <f>Assumptions!$C$66*-1*J99</f>
        <v>-173891.111145</v>
      </c>
      <c r="K70" s="16">
        <f>Assumptions!$C$66*-1*K99</f>
        <v>-179107.84447935002</v>
      </c>
      <c r="L70" s="16">
        <f>Assumptions!$C$66*-1*L99</f>
        <v>-184481.07981373052</v>
      </c>
      <c r="M70" s="16">
        <f>Assumptions!$C$66*-1*M99</f>
        <v>-190015.51220814246</v>
      </c>
      <c r="N70" s="16">
        <f>Assumptions!$C$66*-1*N99</f>
        <v>-195715.97757438672</v>
      </c>
      <c r="O70" s="16">
        <f>Assumptions!$C$66*-1*O99</f>
        <v>-201587.45690161834</v>
      </c>
      <c r="P70" s="16">
        <f>Assumptions!$C$66*-1*P99</f>
        <v>-207635.08060866687</v>
      </c>
      <c r="Q70" s="16">
        <f>Assumptions!$C$66*-1*Q99</f>
        <v>-213864.13302692689</v>
      </c>
      <c r="R70" s="16">
        <f>Assumptions!$C$66*-1*R99</f>
        <v>-220280.05701773471</v>
      </c>
      <c r="S70" s="16">
        <f>Assumptions!$C$66*-1*S99</f>
        <v>-226888.45872826679</v>
      </c>
      <c r="T70" s="16">
        <f>Assumptions!$C$66*-1*T99</f>
        <v>-233695.11249011479</v>
      </c>
      <c r="U70" s="16">
        <f>Assumptions!$C$66*-1*U99</f>
        <v>-240705.96586481825</v>
      </c>
      <c r="V70" s="16">
        <f>Assumptions!$C$66*-1*V99</f>
        <v>-247927.1448407628</v>
      </c>
      <c r="W70" s="16">
        <f>Assumptions!$C$66*-1*W99</f>
        <v>-255364.95918598567</v>
      </c>
      <c r="X70" s="16">
        <f>Assumptions!$C$66*-1*X99</f>
        <v>-263025.9079615653</v>
      </c>
      <c r="Y70" s="16">
        <f>Assumptions!$C$66*-1*Y99</f>
        <v>-270916.68520041223</v>
      </c>
    </row>
    <row r="71" spans="2:25" x14ac:dyDescent="0.3">
      <c r="B71" t="s">
        <v>107</v>
      </c>
      <c r="C71" s="16">
        <f>SUM(E71:Y71)</f>
        <v>439997.54280367633</v>
      </c>
      <c r="E71" s="16">
        <f>MAX(0,MIN(-E70,-(E70+SUM(E63:E66))))</f>
        <v>0</v>
      </c>
      <c r="F71" s="16">
        <f t="shared" ref="F71:Y71" si="31">MAX(0,MIN(-F70,-(F70+SUM(F63:F66))))</f>
        <v>154500</v>
      </c>
      <c r="G71" s="16">
        <f t="shared" si="31"/>
        <v>126992.64705882352</v>
      </c>
      <c r="H71" s="16">
        <f t="shared" si="31"/>
        <v>93812.220588235272</v>
      </c>
      <c r="I71" s="16">
        <f t="shared" si="31"/>
        <v>54819.967647058802</v>
      </c>
      <c r="J71" s="16">
        <f t="shared" si="31"/>
        <v>9872.7075095587934</v>
      </c>
      <c r="K71" s="16">
        <f t="shared" si="31"/>
        <v>0</v>
      </c>
      <c r="L71" s="16">
        <f t="shared" si="31"/>
        <v>0</v>
      </c>
      <c r="M71" s="16">
        <f t="shared" si="31"/>
        <v>0</v>
      </c>
      <c r="N71" s="16">
        <f t="shared" si="31"/>
        <v>0</v>
      </c>
      <c r="O71" s="16">
        <f t="shared" si="31"/>
        <v>0</v>
      </c>
      <c r="P71" s="16">
        <f t="shared" si="31"/>
        <v>0</v>
      </c>
      <c r="Q71" s="16">
        <f t="shared" si="31"/>
        <v>0</v>
      </c>
      <c r="R71" s="16">
        <f t="shared" si="31"/>
        <v>0</v>
      </c>
      <c r="S71" s="16">
        <f t="shared" si="31"/>
        <v>0</v>
      </c>
      <c r="T71" s="16">
        <f t="shared" si="31"/>
        <v>0</v>
      </c>
      <c r="U71" s="16">
        <f t="shared" si="31"/>
        <v>0</v>
      </c>
      <c r="V71" s="16">
        <f t="shared" si="31"/>
        <v>0</v>
      </c>
      <c r="W71" s="16">
        <f t="shared" si="31"/>
        <v>0</v>
      </c>
      <c r="X71" s="16">
        <f t="shared" si="31"/>
        <v>0</v>
      </c>
      <c r="Y71" s="16">
        <f t="shared" si="31"/>
        <v>0</v>
      </c>
    </row>
    <row r="72" spans="2:25" hidden="1" outlineLevel="1" x14ac:dyDescent="0.3">
      <c r="C72" s="16"/>
      <c r="F72" s="16">
        <f>IF(AND(F71=0,E71&gt;0),F6,0)</f>
        <v>0</v>
      </c>
      <c r="G72" s="16">
        <f t="shared" ref="G72:Y72" si="32">IF(AND(G71=0,F71&gt;0),G6,0)</f>
        <v>0</v>
      </c>
      <c r="H72" s="16">
        <f t="shared" si="32"/>
        <v>0</v>
      </c>
      <c r="I72" s="16">
        <f t="shared" si="32"/>
        <v>0</v>
      </c>
      <c r="J72" s="16">
        <f t="shared" si="32"/>
        <v>0</v>
      </c>
      <c r="K72" s="16">
        <f t="shared" si="32"/>
        <v>6</v>
      </c>
      <c r="L72" s="16">
        <f t="shared" si="32"/>
        <v>0</v>
      </c>
      <c r="M72" s="16">
        <f t="shared" si="32"/>
        <v>0</v>
      </c>
      <c r="N72" s="16">
        <f t="shared" si="32"/>
        <v>0</v>
      </c>
      <c r="O72" s="16">
        <f t="shared" si="32"/>
        <v>0</v>
      </c>
      <c r="P72" s="16">
        <f t="shared" si="32"/>
        <v>0</v>
      </c>
      <c r="Q72" s="16">
        <f t="shared" si="32"/>
        <v>0</v>
      </c>
      <c r="R72" s="16">
        <f t="shared" si="32"/>
        <v>0</v>
      </c>
      <c r="S72" s="16">
        <f t="shared" si="32"/>
        <v>0</v>
      </c>
      <c r="T72" s="16">
        <f t="shared" si="32"/>
        <v>0</v>
      </c>
      <c r="U72" s="16">
        <f t="shared" si="32"/>
        <v>0</v>
      </c>
      <c r="V72" s="16">
        <f t="shared" si="32"/>
        <v>0</v>
      </c>
      <c r="W72" s="16">
        <f t="shared" si="32"/>
        <v>0</v>
      </c>
      <c r="X72" s="16">
        <f t="shared" si="32"/>
        <v>0</v>
      </c>
      <c r="Y72" s="16">
        <f t="shared" si="32"/>
        <v>0</v>
      </c>
    </row>
    <row r="73" spans="2:25" collapsed="1" x14ac:dyDescent="0.3">
      <c r="E73" s="2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2:25" x14ac:dyDescent="0.3">
      <c r="B74" s="15" t="s">
        <v>89</v>
      </c>
      <c r="E74" s="19">
        <f>E68+SUM(E70:E71)</f>
        <v>0</v>
      </c>
      <c r="F74" s="19">
        <f t="shared" ref="F74:Y74" si="33">F68+SUM(F70:F71)</f>
        <v>0</v>
      </c>
      <c r="G74" s="19">
        <f t="shared" si="33"/>
        <v>0</v>
      </c>
      <c r="H74" s="19">
        <f t="shared" si="33"/>
        <v>0</v>
      </c>
      <c r="I74" s="19">
        <f t="shared" si="33"/>
        <v>0</v>
      </c>
      <c r="J74" s="19">
        <f t="shared" si="33"/>
        <v>0</v>
      </c>
      <c r="K74" s="19">
        <f t="shared" si="33"/>
        <v>41177.298222114012</v>
      </c>
      <c r="L74" s="19">
        <f t="shared" si="33"/>
        <v>66340.126499958045</v>
      </c>
      <c r="M74" s="19">
        <f t="shared" si="33"/>
        <v>92103.266000617208</v>
      </c>
      <c r="N74" s="19">
        <f t="shared" si="33"/>
        <v>118486.02297008623</v>
      </c>
      <c r="O74" s="19">
        <f t="shared" si="33"/>
        <v>227724.78842325386</v>
      </c>
      <c r="P74" s="19">
        <f t="shared" si="33"/>
        <v>249514.7916440129</v>
      </c>
      <c r="Q74" s="19">
        <f t="shared" si="33"/>
        <v>204328.13763219543</v>
      </c>
      <c r="R74" s="19">
        <f t="shared" si="33"/>
        <v>348691.58809042093</v>
      </c>
      <c r="S74" s="19">
        <f t="shared" si="33"/>
        <v>607352.81395210489</v>
      </c>
      <c r="T74" s="19">
        <f t="shared" si="33"/>
        <v>646421.01415904809</v>
      </c>
      <c r="U74" s="19">
        <f t="shared" si="33"/>
        <v>596741.77153537143</v>
      </c>
      <c r="V74" s="19">
        <f t="shared" si="33"/>
        <v>711448.41199349321</v>
      </c>
      <c r="W74" s="19">
        <f t="shared" si="33"/>
        <v>1066748.7048704054</v>
      </c>
      <c r="X74" s="19">
        <f t="shared" si="33"/>
        <v>950989.29876230168</v>
      </c>
      <c r="Y74" s="19">
        <f t="shared" si="33"/>
        <v>1465877.9514107315</v>
      </c>
    </row>
    <row r="75" spans="2:25" x14ac:dyDescent="0.3">
      <c r="E75" s="2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2:25" x14ac:dyDescent="0.3">
      <c r="B76" s="4" t="s">
        <v>90</v>
      </c>
      <c r="E76" s="2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2:25" x14ac:dyDescent="0.3">
      <c r="E77" s="2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2:25" x14ac:dyDescent="0.3">
      <c r="B78" t="s">
        <v>91</v>
      </c>
      <c r="E78" s="16">
        <v>0</v>
      </c>
      <c r="F78" s="16">
        <f>E83</f>
        <v>0</v>
      </c>
      <c r="G78" s="16">
        <f t="shared" ref="G78:Y78" si="34">F83</f>
        <v>0</v>
      </c>
      <c r="H78" s="16">
        <f t="shared" si="34"/>
        <v>0</v>
      </c>
      <c r="I78" s="16">
        <f t="shared" si="34"/>
        <v>0</v>
      </c>
      <c r="J78" s="16">
        <f t="shared" si="34"/>
        <v>0</v>
      </c>
      <c r="K78" s="16">
        <f t="shared" si="34"/>
        <v>0</v>
      </c>
      <c r="L78" s="16">
        <f t="shared" si="34"/>
        <v>0</v>
      </c>
      <c r="M78" s="16">
        <f t="shared" si="34"/>
        <v>1477.882098952221</v>
      </c>
      <c r="N78" s="16">
        <f t="shared" si="34"/>
        <v>11101.164499829276</v>
      </c>
      <c r="O78" s="16">
        <f t="shared" si="34"/>
        <v>28654.688276126355</v>
      </c>
      <c r="P78" s="16">
        <f t="shared" si="34"/>
        <v>112151.84554677183</v>
      </c>
      <c r="Q78" s="16">
        <f t="shared" si="34"/>
        <v>198091.73167643035</v>
      </c>
      <c r="R78" s="16">
        <f t="shared" si="34"/>
        <v>221242.2407123431</v>
      </c>
      <c r="S78" s="16">
        <f t="shared" si="34"/>
        <v>364323.62384763337</v>
      </c>
      <c r="T78" s="16">
        <f t="shared" si="34"/>
        <v>742247.04314015899</v>
      </c>
      <c r="U78" s="16">
        <f t="shared" si="34"/>
        <v>706924.60315325251</v>
      </c>
      <c r="V78" s="16">
        <f t="shared" si="34"/>
        <v>659060.46819940209</v>
      </c>
      <c r="W78" s="16">
        <f t="shared" si="34"/>
        <v>775636.66955744487</v>
      </c>
      <c r="X78" s="16">
        <f t="shared" si="34"/>
        <v>1132862.6101612756</v>
      </c>
      <c r="Y78" s="16">
        <f t="shared" si="34"/>
        <v>1019086.6212118978</v>
      </c>
    </row>
    <row r="79" spans="2:25" x14ac:dyDescent="0.3">
      <c r="B79" t="s">
        <v>92</v>
      </c>
      <c r="E79" s="16">
        <f>E74</f>
        <v>0</v>
      </c>
      <c r="F79" s="16">
        <f>F74</f>
        <v>0</v>
      </c>
      <c r="G79" s="16">
        <f t="shared" ref="G79:Y79" si="35">G74</f>
        <v>0</v>
      </c>
      <c r="H79" s="16">
        <f t="shared" si="35"/>
        <v>0</v>
      </c>
      <c r="I79" s="16">
        <f t="shared" si="35"/>
        <v>0</v>
      </c>
      <c r="J79" s="16">
        <f t="shared" si="35"/>
        <v>0</v>
      </c>
      <c r="K79" s="16">
        <f t="shared" si="35"/>
        <v>41177.298222114012</v>
      </c>
      <c r="L79" s="16">
        <f t="shared" si="35"/>
        <v>66340.126499958045</v>
      </c>
      <c r="M79" s="16">
        <f t="shared" si="35"/>
        <v>92103.266000617208</v>
      </c>
      <c r="N79" s="16">
        <f t="shared" si="35"/>
        <v>118486.02297008623</v>
      </c>
      <c r="O79" s="16">
        <f t="shared" si="35"/>
        <v>227724.78842325386</v>
      </c>
      <c r="P79" s="16">
        <f t="shared" si="35"/>
        <v>249514.7916440129</v>
      </c>
      <c r="Q79" s="16">
        <f t="shared" si="35"/>
        <v>204328.13763219543</v>
      </c>
      <c r="R79" s="16">
        <f t="shared" si="35"/>
        <v>348691.58809042093</v>
      </c>
      <c r="S79" s="16">
        <f t="shared" si="35"/>
        <v>607352.81395210489</v>
      </c>
      <c r="T79" s="16">
        <f t="shared" si="35"/>
        <v>646421.01415904809</v>
      </c>
      <c r="U79" s="16">
        <f t="shared" si="35"/>
        <v>596741.77153537143</v>
      </c>
      <c r="V79" s="16">
        <f t="shared" si="35"/>
        <v>711448.41199349321</v>
      </c>
      <c r="W79" s="16">
        <f t="shared" si="35"/>
        <v>1066748.7048704054</v>
      </c>
      <c r="X79" s="16">
        <f t="shared" si="35"/>
        <v>950989.29876230168</v>
      </c>
      <c r="Y79" s="16">
        <f t="shared" si="35"/>
        <v>1465877.9514107315</v>
      </c>
    </row>
    <row r="80" spans="2:25" x14ac:dyDescent="0.3">
      <c r="B80" t="s">
        <v>93</v>
      </c>
      <c r="E80" s="16">
        <f>MAX(0,MIN(E78+E79,(E$6&gt;=Assumptions!$C$47)*Assumptions!$C$46*Model!E38))</f>
        <v>0</v>
      </c>
      <c r="F80" s="16">
        <f>MAX(0,MIN(F78+F79,(F$6&gt;=Assumptions!$C$47)*Assumptions!$C$46*Model!F38))</f>
        <v>0</v>
      </c>
      <c r="G80" s="16">
        <f>MAX(0,MIN(G78+G79,(G$6&gt;=Assumptions!$C$47)*Assumptions!$C$46*Model!G38))</f>
        <v>0</v>
      </c>
      <c r="H80" s="16">
        <f>MAX(0,MIN(H78+H79,(H$6&gt;=Assumptions!$C$47)*Assumptions!$C$46*Model!H38))</f>
        <v>0</v>
      </c>
      <c r="I80" s="16">
        <f>MAX(0,MIN(I78+I79,(I$6&gt;=Assumptions!$C$47)*Assumptions!$C$46*Model!I38))</f>
        <v>0</v>
      </c>
      <c r="J80" s="16">
        <f>MAX(0,MIN(J78+J79,(J$6&gt;=Assumptions!$C$47)*Assumptions!$C$46*Model!J38))</f>
        <v>0</v>
      </c>
      <c r="K80" s="16">
        <f>MAX(0,MIN(K78+K79,(K$6&gt;=Assumptions!$C$47)*Assumptions!$C$46*Model!K38))</f>
        <v>0</v>
      </c>
      <c r="L80" s="16">
        <f>MAX(0,MIN(L78+L79,(L$6&gt;=Assumptions!$C$47)*Assumptions!$C$46*Model!L38))</f>
        <v>0</v>
      </c>
      <c r="M80" s="16">
        <f>MAX(0,MIN(M78+M79,(M$6&gt;=Assumptions!$C$47)*Assumptions!$C$46*Model!M38))</f>
        <v>0</v>
      </c>
      <c r="N80" s="16">
        <f>MAX(0,MIN(N78+N79,(N$6&gt;=Assumptions!$C$47)*Assumptions!$C$46*Model!N38))</f>
        <v>0</v>
      </c>
      <c r="O80" s="16">
        <f>MAX(0,MIN(O78+O79,(O$6&gt;=Assumptions!$C$47)*Assumptions!$C$46*Model!O38))</f>
        <v>24000</v>
      </c>
      <c r="P80" s="16">
        <f>MAX(0,MIN(P78+P79,(P$6&gt;=Assumptions!$C$47)*Assumptions!$C$46*Model!P38))</f>
        <v>24000</v>
      </c>
      <c r="Q80" s="16">
        <f>MAX(0,MIN(Q78+Q79,(Q$6&gt;=Assumptions!$C$47)*Assumptions!$C$46*Model!Q38))</f>
        <v>24000</v>
      </c>
      <c r="R80" s="16">
        <f>MAX(0,MIN(R78+R79,(R$6&gt;=Assumptions!$C$47)*Assumptions!$C$46*Model!R38))</f>
        <v>24000</v>
      </c>
      <c r="S80" s="16">
        <f>MAX(0,MIN(S78+S79,(S$6&gt;=Assumptions!$C$47)*Assumptions!$C$46*Model!S38))</f>
        <v>24000</v>
      </c>
      <c r="T80" s="16">
        <f>MAX(0,MIN(T78+T79,(T$6&gt;=Assumptions!$C$47)*Assumptions!$C$46*Model!T38))</f>
        <v>24000</v>
      </c>
      <c r="U80" s="16">
        <f>MAX(0,MIN(U78+U79,(U$6&gt;=Assumptions!$C$47)*Assumptions!$C$46*Model!U38))</f>
        <v>24000</v>
      </c>
      <c r="V80" s="16">
        <f>MAX(0,MIN(V78+V79,(V$6&gt;=Assumptions!$C$47)*Assumptions!$C$46*Model!V38))</f>
        <v>24000</v>
      </c>
      <c r="W80" s="16">
        <f>MAX(0,MIN(W78+W79,(W$6&gt;=Assumptions!$C$47)*Assumptions!$C$46*Model!W38))</f>
        <v>24000</v>
      </c>
      <c r="X80" s="16">
        <f>MAX(0,MIN(X78+X79,(X$6&gt;=Assumptions!$C$47)*Assumptions!$C$46*Model!X38))</f>
        <v>24000</v>
      </c>
      <c r="Y80" s="16">
        <f>MAX(0,MIN(Y78+Y79,(Y$6&gt;=Assumptions!$C$47)*Assumptions!$C$46*Model!Y38))</f>
        <v>24000</v>
      </c>
    </row>
    <row r="81" spans="2:25" x14ac:dyDescent="0.3">
      <c r="B81" t="s">
        <v>94</v>
      </c>
      <c r="E81" s="16">
        <f>MAX(0,MIN(E78+E79-E80,IF(E$6&lt;Assumptions!$C$48,Assumptions!$C$49*Model!D93,Assumptions!$C$50*D93)))</f>
        <v>0</v>
      </c>
      <c r="F81" s="16">
        <f>MAX(0,MIN(F78+F79-F80,IF(F$6&lt;Assumptions!$C$48,Assumptions!$C$49*Model!E93,Assumptions!$C$50*E93)))</f>
        <v>0</v>
      </c>
      <c r="G81" s="16">
        <f>MAX(0,MIN(G78+G79-G80,IF(G$6&lt;Assumptions!$C$48,Assumptions!$C$49*Model!F93,Assumptions!$C$50*F93)))</f>
        <v>0</v>
      </c>
      <c r="H81" s="16">
        <f>MAX(0,MIN(H78+H79-H80,IF(H$6&lt;Assumptions!$C$48,Assumptions!$C$49*Model!G93,Assumptions!$C$50*G93)))</f>
        <v>0</v>
      </c>
      <c r="I81" s="16">
        <f>MAX(0,MIN(I78+I79-I80,IF(I$6&lt;Assumptions!$C$48,Assumptions!$C$49*Model!H93,Assumptions!$C$50*H93)))</f>
        <v>0</v>
      </c>
      <c r="J81" s="16">
        <f>MAX(0,MIN(J78+J79-J80,IF(J$6&lt;Assumptions!$C$48,Assumptions!$C$49*Model!I93,Assumptions!$C$50*I93)))</f>
        <v>0</v>
      </c>
      <c r="K81" s="16">
        <f>MAX(0,MIN(K78+K79-K80,IF(K$6&lt;Assumptions!$C$48,Assumptions!$C$49*Model!J93,Assumptions!$C$50*J93)))</f>
        <v>41177.298222114012</v>
      </c>
      <c r="L81" s="16">
        <f>MAX(0,MIN(L78+L79-L80,IF(L$6&lt;Assumptions!$C$48,Assumptions!$C$49*Model!K93,Assumptions!$C$50*K93)))</f>
        <v>64862.244401005824</v>
      </c>
      <c r="M81" s="16">
        <f>MAX(0,MIN(M78+M79-M80,IF(M$6&lt;Assumptions!$C$48,Assumptions!$C$49*Model!L93,Assumptions!$C$50*L93)))</f>
        <v>82479.983599740153</v>
      </c>
      <c r="N81" s="16">
        <f>MAX(0,MIN(N78+N79-N80,IF(N$6&lt;Assumptions!$C$48,Assumptions!$C$49*Model!M93,Assumptions!$C$50*M93)))</f>
        <v>100932.49919378915</v>
      </c>
      <c r="O81" s="16">
        <f>MAX(0,MIN(O78+O79-O80,IF(O$6&lt;Assumptions!$C$48,Assumptions!$C$49*Model!N93,Assumptions!$C$50*N93)))</f>
        <v>120227.63115260836</v>
      </c>
      <c r="P81" s="16">
        <f>MAX(0,MIN(P78+P79-P80,IF(P$6&lt;Assumptions!$C$48,Assumptions!$C$49*Model!O93,Assumptions!$C$50*O93)))</f>
        <v>139574.90551435438</v>
      </c>
      <c r="Q81" s="16">
        <f>MAX(0,MIN(Q78+Q79-Q80,IF(Q$6&lt;Assumptions!$C$48,Assumptions!$C$49*Model!P93,Assumptions!$C$50*P93)))</f>
        <v>157177.62859628271</v>
      </c>
      <c r="R81" s="16">
        <f>MAX(0,MIN(R78+R79-R80,IF(R$6&lt;Assumptions!$C$48,Assumptions!$C$49*Model!Q93,Assumptions!$C$50*Q93)))</f>
        <v>181610.20495513073</v>
      </c>
      <c r="S81" s="16">
        <f>MAX(0,MIN(S78+S79-S80,IF(S$6&lt;Assumptions!$C$48,Assumptions!$C$49*Model!R93,Assumptions!$C$50*R93)))</f>
        <v>205429.39465957932</v>
      </c>
      <c r="T81" s="16">
        <f>MAX(0,MIN(T78+T79-T80,IF(T$6&lt;Assumptions!$C$48,Assumptions!$C$49*Model!S93,Assumptions!$C$50*S93)))</f>
        <v>234493.56099624632</v>
      </c>
      <c r="U81" s="16">
        <f>MAX(0,MIN(U78+U79-U80,IF(U$6&lt;Assumptions!$C$48,Assumptions!$C$49*Model!T93,Assumptions!$C$50*T93)))</f>
        <v>259824.44651920573</v>
      </c>
      <c r="V81" s="16">
        <f>MAX(0,MIN(V78+V79-V80,IF(V$6&lt;Assumptions!$C$48,Assumptions!$C$49*Model!U93,Assumptions!$C$50*U93)))</f>
        <v>296414.35161874816</v>
      </c>
      <c r="W81" s="16">
        <f>MAX(0,MIN(W78+W79-W80,IF(W$6&lt;Assumptions!$C$48,Assumptions!$C$49*Model!V93,Assumptions!$C$50*V93)))</f>
        <v>339102.83914120268</v>
      </c>
      <c r="X81" s="16">
        <f>MAX(0,MIN(X78+X79-X80,IF(X$6&lt;Assumptions!$C$48,Assumptions!$C$49*Model!W93,Assumptions!$C$50*W93)))</f>
        <v>383607.63475137245</v>
      </c>
      <c r="Y81" s="16">
        <f>MAX(0,MIN(Y78+Y79-Y80,IF(Y$6&lt;Assumptions!$C$48,Assumptions!$C$49*Model!X93,Assumptions!$C$50*X93)))</f>
        <v>437850.79948471952</v>
      </c>
    </row>
    <row r="82" spans="2:25" x14ac:dyDescent="0.3">
      <c r="B82" t="s">
        <v>95</v>
      </c>
      <c r="E82" s="16">
        <f>MIN(D86,E12)</f>
        <v>0</v>
      </c>
      <c r="F82" s="16">
        <f t="shared" ref="F82:Y82" si="36">MIN(E86,F12)</f>
        <v>0</v>
      </c>
      <c r="G82" s="16">
        <f t="shared" si="36"/>
        <v>0</v>
      </c>
      <c r="H82" s="16">
        <f t="shared" si="36"/>
        <v>0</v>
      </c>
      <c r="I82" s="16">
        <f t="shared" si="36"/>
        <v>0</v>
      </c>
      <c r="J82" s="16">
        <f t="shared" si="36"/>
        <v>0</v>
      </c>
      <c r="K82" s="16">
        <f t="shared" si="36"/>
        <v>0</v>
      </c>
      <c r="L82" s="16">
        <f t="shared" si="36"/>
        <v>0</v>
      </c>
      <c r="M82" s="16">
        <f t="shared" si="36"/>
        <v>0</v>
      </c>
      <c r="N82" s="16">
        <f t="shared" si="36"/>
        <v>0</v>
      </c>
      <c r="O82" s="16">
        <f t="shared" si="36"/>
        <v>0</v>
      </c>
      <c r="P82" s="16">
        <f t="shared" si="36"/>
        <v>0</v>
      </c>
      <c r="Q82" s="16">
        <f t="shared" si="36"/>
        <v>0</v>
      </c>
      <c r="R82" s="16">
        <f t="shared" si="36"/>
        <v>0</v>
      </c>
      <c r="S82" s="16">
        <f t="shared" si="36"/>
        <v>0</v>
      </c>
      <c r="T82" s="16">
        <f t="shared" si="36"/>
        <v>423249.89314970816</v>
      </c>
      <c r="U82" s="16">
        <f t="shared" si="36"/>
        <v>360781.45997001621</v>
      </c>
      <c r="V82" s="16">
        <f t="shared" si="36"/>
        <v>274457.85901670239</v>
      </c>
      <c r="W82" s="16">
        <f t="shared" si="36"/>
        <v>346419.92512537213</v>
      </c>
      <c r="X82" s="16">
        <f t="shared" si="36"/>
        <v>657157.65296030696</v>
      </c>
      <c r="Y82" s="16">
        <f t="shared" si="36"/>
        <v>487095.57960409427</v>
      </c>
    </row>
    <row r="83" spans="2:25" x14ac:dyDescent="0.3">
      <c r="B83" t="s">
        <v>96</v>
      </c>
      <c r="E83" s="16">
        <f>E78+E79-SUM(E80:E82)</f>
        <v>0</v>
      </c>
      <c r="F83" s="16">
        <f>F78+F79-SUM(F80:F82)</f>
        <v>0</v>
      </c>
      <c r="G83" s="16">
        <f t="shared" ref="G83:Y83" si="37">G78+G79-SUM(G80:G82)</f>
        <v>0</v>
      </c>
      <c r="H83" s="16">
        <f t="shared" si="37"/>
        <v>0</v>
      </c>
      <c r="I83" s="16">
        <f t="shared" si="37"/>
        <v>0</v>
      </c>
      <c r="J83" s="16">
        <f t="shared" si="37"/>
        <v>0</v>
      </c>
      <c r="K83" s="16">
        <f t="shared" si="37"/>
        <v>0</v>
      </c>
      <c r="L83" s="16">
        <f t="shared" si="37"/>
        <v>1477.882098952221</v>
      </c>
      <c r="M83" s="16">
        <f t="shared" si="37"/>
        <v>11101.164499829276</v>
      </c>
      <c r="N83" s="16">
        <f t="shared" si="37"/>
        <v>28654.688276126355</v>
      </c>
      <c r="O83" s="16">
        <f t="shared" si="37"/>
        <v>112151.84554677183</v>
      </c>
      <c r="P83" s="16">
        <f t="shared" si="37"/>
        <v>198091.73167643035</v>
      </c>
      <c r="Q83" s="16">
        <f t="shared" si="37"/>
        <v>221242.2407123431</v>
      </c>
      <c r="R83" s="16">
        <f t="shared" si="37"/>
        <v>364323.62384763337</v>
      </c>
      <c r="S83" s="16">
        <f t="shared" si="37"/>
        <v>742247.04314015899</v>
      </c>
      <c r="T83" s="16">
        <f t="shared" si="37"/>
        <v>706924.60315325251</v>
      </c>
      <c r="U83" s="16">
        <f t="shared" si="37"/>
        <v>659060.46819940209</v>
      </c>
      <c r="V83" s="16">
        <f t="shared" si="37"/>
        <v>775636.66955744487</v>
      </c>
      <c r="W83" s="16">
        <f t="shared" si="37"/>
        <v>1132862.6101612756</v>
      </c>
      <c r="X83" s="16">
        <f t="shared" si="37"/>
        <v>1019086.6212118978</v>
      </c>
      <c r="Y83" s="16">
        <f t="shared" si="37"/>
        <v>1536018.1935338154</v>
      </c>
    </row>
    <row r="84" spans="2:25" x14ac:dyDescent="0.3">
      <c r="B84" t="s">
        <v>108</v>
      </c>
      <c r="E84" s="16">
        <f>SUM(F80:F81)</f>
        <v>0</v>
      </c>
      <c r="F84" s="16">
        <f t="shared" ref="F84:Y84" si="38">SUM(G80:G81)</f>
        <v>0</v>
      </c>
      <c r="G84" s="16">
        <f t="shared" si="38"/>
        <v>0</v>
      </c>
      <c r="H84" s="16">
        <f t="shared" si="38"/>
        <v>0</v>
      </c>
      <c r="I84" s="16">
        <f t="shared" si="38"/>
        <v>0</v>
      </c>
      <c r="J84" s="16">
        <f t="shared" si="38"/>
        <v>41177.298222114012</v>
      </c>
      <c r="K84" s="16">
        <f t="shared" si="38"/>
        <v>64862.244401005824</v>
      </c>
      <c r="L84" s="16">
        <f t="shared" si="38"/>
        <v>82479.983599740153</v>
      </c>
      <c r="M84" s="16">
        <f t="shared" si="38"/>
        <v>100932.49919378915</v>
      </c>
      <c r="N84" s="16">
        <f t="shared" si="38"/>
        <v>144227.63115260837</v>
      </c>
      <c r="O84" s="16">
        <f t="shared" si="38"/>
        <v>163574.90551435438</v>
      </c>
      <c r="P84" s="16">
        <f t="shared" si="38"/>
        <v>181177.62859628271</v>
      </c>
      <c r="Q84" s="16">
        <f t="shared" si="38"/>
        <v>205610.20495513073</v>
      </c>
      <c r="R84" s="16">
        <f t="shared" si="38"/>
        <v>229429.39465957932</v>
      </c>
      <c r="S84" s="16">
        <f t="shared" si="38"/>
        <v>258493.56099624632</v>
      </c>
      <c r="T84" s="16">
        <f t="shared" si="38"/>
        <v>283824.4465192057</v>
      </c>
      <c r="U84" s="16">
        <f t="shared" si="38"/>
        <v>320414.35161874816</v>
      </c>
      <c r="V84" s="16">
        <f t="shared" si="38"/>
        <v>363102.83914120268</v>
      </c>
      <c r="W84" s="16">
        <f t="shared" si="38"/>
        <v>407607.63475137245</v>
      </c>
      <c r="X84" s="16">
        <f t="shared" si="38"/>
        <v>461850.79948471952</v>
      </c>
      <c r="Y84" s="16">
        <f t="shared" si="38"/>
        <v>0</v>
      </c>
    </row>
    <row r="85" spans="2:25" x14ac:dyDescent="0.3">
      <c r="B85" t="s">
        <v>97</v>
      </c>
      <c r="E85" s="16">
        <f>Assumptions!$C$67*Model!E99</f>
        <v>40000</v>
      </c>
      <c r="F85" s="16">
        <f>Assumptions!$C$67*Model!F99</f>
        <v>41200</v>
      </c>
      <c r="G85" s="16">
        <f>Assumptions!$C$67*Model!G99</f>
        <v>42436</v>
      </c>
      <c r="H85" s="16">
        <f>Assumptions!$C$67*Model!H99</f>
        <v>43709.08</v>
      </c>
      <c r="I85" s="16">
        <f>Assumptions!$C$67*Model!I99</f>
        <v>45020.352400000003</v>
      </c>
      <c r="J85" s="16">
        <f>Assumptions!$C$67*Model!J99</f>
        <v>46370.962972000001</v>
      </c>
      <c r="K85" s="16">
        <f>Assumptions!$C$67*Model!K99</f>
        <v>47762.091861160006</v>
      </c>
      <c r="L85" s="16">
        <f>Assumptions!$C$67*Model!L99</f>
        <v>49194.954616994808</v>
      </c>
      <c r="M85" s="16">
        <f>Assumptions!$C$67*Model!M99</f>
        <v>50670.803255504652</v>
      </c>
      <c r="N85" s="16">
        <f>Assumptions!$C$67*Model!N99</f>
        <v>52190.927353169798</v>
      </c>
      <c r="O85" s="16">
        <f>Assumptions!$C$67*Model!O99</f>
        <v>53756.655173764892</v>
      </c>
      <c r="P85" s="16">
        <f>Assumptions!$C$67*Model!P99</f>
        <v>55369.354828977834</v>
      </c>
      <c r="Q85" s="16">
        <f>Assumptions!$C$67*Model!Q99</f>
        <v>57030.435473847174</v>
      </c>
      <c r="R85" s="16">
        <f>Assumptions!$C$67*Model!R99</f>
        <v>58741.348538062593</v>
      </c>
      <c r="S85" s="16">
        <f>Assumptions!$C$67*Model!S99</f>
        <v>60503.588994204474</v>
      </c>
      <c r="T85" s="16">
        <f>Assumptions!$C$67*Model!T99</f>
        <v>62318.696664030613</v>
      </c>
      <c r="U85" s="16">
        <f>Assumptions!$C$67*Model!U99</f>
        <v>64188.257563951534</v>
      </c>
      <c r="V85" s="16">
        <f>Assumptions!$C$67*Model!V99</f>
        <v>66113.905290870083</v>
      </c>
      <c r="W85" s="16">
        <f>Assumptions!$C$67*Model!W99</f>
        <v>68097.322449596177</v>
      </c>
      <c r="X85" s="16">
        <f>Assumptions!$C$67*Model!X99</f>
        <v>70140.24212308407</v>
      </c>
      <c r="Y85" s="16">
        <f>Assumptions!$C$67*Model!Y99</f>
        <v>72244.4493867766</v>
      </c>
    </row>
    <row r="86" spans="2:25" x14ac:dyDescent="0.3">
      <c r="B86" t="s">
        <v>109</v>
      </c>
      <c r="E86" s="16">
        <f>MAX(0,E83-SUM(E84:E85))</f>
        <v>0</v>
      </c>
      <c r="F86" s="16">
        <f t="shared" ref="F86:Y86" si="39">MAX(0,F83-SUM(F84:F85))</f>
        <v>0</v>
      </c>
      <c r="G86" s="16">
        <f t="shared" si="39"/>
        <v>0</v>
      </c>
      <c r="H86" s="16">
        <f t="shared" si="39"/>
        <v>0</v>
      </c>
      <c r="I86" s="16">
        <f t="shared" si="39"/>
        <v>0</v>
      </c>
      <c r="J86" s="16">
        <f t="shared" si="39"/>
        <v>0</v>
      </c>
      <c r="K86" s="16">
        <f t="shared" si="39"/>
        <v>0</v>
      </c>
      <c r="L86" s="16">
        <f t="shared" si="39"/>
        <v>0</v>
      </c>
      <c r="M86" s="16">
        <f t="shared" si="39"/>
        <v>0</v>
      </c>
      <c r="N86" s="16">
        <f t="shared" si="39"/>
        <v>0</v>
      </c>
      <c r="O86" s="16">
        <f t="shared" si="39"/>
        <v>0</v>
      </c>
      <c r="P86" s="16">
        <f t="shared" si="39"/>
        <v>0</v>
      </c>
      <c r="Q86" s="16">
        <f t="shared" si="39"/>
        <v>0</v>
      </c>
      <c r="R86" s="16">
        <f t="shared" si="39"/>
        <v>76152.88064999145</v>
      </c>
      <c r="S86" s="16">
        <f t="shared" si="39"/>
        <v>423249.89314970816</v>
      </c>
      <c r="T86" s="16">
        <f t="shared" si="39"/>
        <v>360781.45997001621</v>
      </c>
      <c r="U86" s="16">
        <f t="shared" si="39"/>
        <v>274457.85901670239</v>
      </c>
      <c r="V86" s="16">
        <f t="shared" si="39"/>
        <v>346419.92512537213</v>
      </c>
      <c r="W86" s="16">
        <f t="shared" si="39"/>
        <v>657157.65296030696</v>
      </c>
      <c r="X86" s="16">
        <f t="shared" si="39"/>
        <v>487095.57960409427</v>
      </c>
      <c r="Y86" s="16">
        <f t="shared" si="39"/>
        <v>1463773.7441470388</v>
      </c>
    </row>
    <row r="87" spans="2:25" x14ac:dyDescent="0.3">
      <c r="E87" s="2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9" spans="2:25" x14ac:dyDescent="0.3">
      <c r="B89" t="s">
        <v>110</v>
      </c>
      <c r="E89" s="16">
        <f>E33+E34+D86+D55+MIN(E43,(E33+E34+D86+D55)*(Assumptions!$C$55/(1-Assumptions!$C$55)))</f>
        <v>0</v>
      </c>
      <c r="F89" s="16">
        <f>F33+F34+E86+E55+MIN(F43,(F33+F34+E86+E55)*(Assumptions!$C$55/(1-Assumptions!$C$55)))</f>
        <v>400000</v>
      </c>
      <c r="G89" s="16">
        <f>G33+G34+F86+F55+MIN(G43,(G33+G34+F86+F55)*(Assumptions!$C$55/(1-Assumptions!$C$55)))</f>
        <v>400000</v>
      </c>
      <c r="H89" s="16">
        <f>H33+H34+G86+G55+MIN(H43,(H33+H34+G86+G55)*(Assumptions!$C$55/(1-Assumptions!$C$55)))</f>
        <v>400000</v>
      </c>
      <c r="I89" s="16">
        <f>I33+I34+H86+H55+MIN(I43,(I33+I34+H86+H55)*(Assumptions!$C$55/(1-Assumptions!$C$55)))</f>
        <v>400000</v>
      </c>
      <c r="J89" s="16">
        <f>J33+J34+I86+I55+MIN(J43,(J33+J34+I86+I55)*(Assumptions!$C$55/(1-Assumptions!$C$55)))</f>
        <v>400000</v>
      </c>
      <c r="K89" s="16">
        <f>K33+K34+J86+J55+MIN(K43,(K33+K34+J86+J55)*(Assumptions!$C$55/(1-Assumptions!$C$55)))</f>
        <v>0</v>
      </c>
      <c r="L89" s="16">
        <f>L33+L34+K86+K55+MIN(L43,(L33+L34+K86+K55)*(Assumptions!$C$55/(1-Assumptions!$C$55)))</f>
        <v>0</v>
      </c>
      <c r="M89" s="16">
        <f>M33+M34+L86+L55+MIN(M43,(M33+M34+L86+L55)*(Assumptions!$C$55/(1-Assumptions!$C$55)))</f>
        <v>0</v>
      </c>
      <c r="N89" s="16">
        <f>N33+N34+M86+M55+MIN(N43,(N33+N34+M86+M55)*(Assumptions!$C$55/(1-Assumptions!$C$55)))</f>
        <v>0</v>
      </c>
      <c r="O89" s="16">
        <f>O33+O34+N86+N55+MIN(O43,(O33+O34+N86+N55)*(Assumptions!$C$55/(1-Assumptions!$C$55)))</f>
        <v>185818.71901321039</v>
      </c>
      <c r="P89" s="16">
        <f>P33+P34+O86+O55+MIN(P43,(P33+P34+O86+O55)*(Assumptions!$C$55/(1-Assumptions!$C$55)))</f>
        <v>410637.33372141514</v>
      </c>
      <c r="Q89" s="16">
        <f>Q33+Q34+P86+P55+MIN(Q43,(Q33+Q34+P86+P55)*(Assumptions!$C$55/(1-Assumptions!$C$55)))</f>
        <v>0</v>
      </c>
      <c r="R89" s="16">
        <f>R33+R34+Q86+Q55+MIN(R43,(R33+R34+Q86+Q55)*(Assumptions!$C$55/(1-Assumptions!$C$55)))</f>
        <v>294036.61461585574</v>
      </c>
      <c r="S89" s="16">
        <f>S33+S34+R86+R55+MIN(S43,(S33+S34+R86+R55)*(Assumptions!$C$55/(1-Assumptions!$C$55)))</f>
        <v>107345.8472010718</v>
      </c>
      <c r="T89" s="16">
        <f>T33+T34+S86+S55+MIN(T43,(T33+T34+S86+S55)*(Assumptions!$C$55/(1-Assumptions!$C$55)))</f>
        <v>776111.19928778033</v>
      </c>
      <c r="U89" s="16">
        <f>U33+U34+T86+T55+MIN(U43,(U33+U34+T86+T55)*(Assumptions!$C$55/(1-Assumptions!$C$55)))</f>
        <v>360781.45997001621</v>
      </c>
      <c r="V89" s="16">
        <f>V33+V34+U86+U55+MIN(V43,(V33+V34+U86+U55)*(Assumptions!$C$55/(1-Assumptions!$C$55)))</f>
        <v>274457.85901670239</v>
      </c>
      <c r="W89" s="16">
        <f>W33+W34+V86+V55+MIN(W43,(W33+W34+V86+V55)*(Assumptions!$C$55/(1-Assumptions!$C$55)))</f>
        <v>775128.96968254121</v>
      </c>
      <c r="X89" s="16">
        <f>X33+X34+W86+W55+MIN(X43,(X33+X34+W86+W55)*(Assumptions!$C$55/(1-Assumptions!$C$55)))</f>
        <v>657157.65296030696</v>
      </c>
      <c r="Y89" s="16">
        <f>Y33+Y34+X86+X55+MIN(Y43,(Y33+Y34+X86+X55)*(Assumptions!$C$55/(1-Assumptions!$C$55)))</f>
        <v>633647.66269571835</v>
      </c>
    </row>
    <row r="90" spans="2:25" x14ac:dyDescent="0.3">
      <c r="B90" t="s">
        <v>32</v>
      </c>
      <c r="E90" s="16">
        <f>E49+E33+E34+(E33+E34)*(Assumptions!$C$55/(1-Assumptions!$C$55))</f>
        <v>0</v>
      </c>
      <c r="F90" s="16">
        <f>F89+F89*(Assumptions!$C$59/(1-Assumptions!$C$59))</f>
        <v>2000000.0000000005</v>
      </c>
      <c r="G90" s="16">
        <f>G89+G89*(Assumptions!$C$59/(1-Assumptions!$C$59))</f>
        <v>2000000.0000000005</v>
      </c>
      <c r="H90" s="16">
        <f>H89+H89*(Assumptions!$C$59/(1-Assumptions!$C$59))</f>
        <v>2000000.0000000005</v>
      </c>
      <c r="I90" s="16">
        <f>I89+I89*(Assumptions!$C$59/(1-Assumptions!$C$59))</f>
        <v>2000000.0000000005</v>
      </c>
      <c r="J90" s="16">
        <f>J89+J89*(Assumptions!$C$59/(1-Assumptions!$C$59))</f>
        <v>2000000.0000000005</v>
      </c>
      <c r="K90" s="16">
        <f>K89+K89*(Assumptions!$C$59/(1-Assumptions!$C$59))</f>
        <v>0</v>
      </c>
      <c r="L90" s="16">
        <f>L89+L89*(Assumptions!$C$59/(1-Assumptions!$C$59))</f>
        <v>0</v>
      </c>
      <c r="M90" s="16">
        <f>M89+M89*(Assumptions!$C$59/(1-Assumptions!$C$59))</f>
        <v>0</v>
      </c>
      <c r="N90" s="16">
        <f>N89+N89*(Assumptions!$C$59/(1-Assumptions!$C$59))</f>
        <v>0</v>
      </c>
      <c r="O90" s="16">
        <f>O89+O89*(Assumptions!$C$59/(1-Assumptions!$C$59))</f>
        <v>929093.59506605205</v>
      </c>
      <c r="P90" s="16">
        <f>P89+P89*(Assumptions!$C$59/(1-Assumptions!$C$59))</f>
        <v>2053186.6686070762</v>
      </c>
      <c r="Q90" s="16">
        <f>Q89+Q89*(Assumptions!$C$59/(1-Assumptions!$C$59))</f>
        <v>0</v>
      </c>
      <c r="R90" s="16">
        <f>R89+R89*(Assumptions!$C$59/(1-Assumptions!$C$59))</f>
        <v>1470183.0730792789</v>
      </c>
      <c r="S90" s="16">
        <f>S89+S89*(Assumptions!$C$59/(1-Assumptions!$C$59))</f>
        <v>536729.2360053591</v>
      </c>
      <c r="T90" s="16">
        <f>T89+T89*(Assumptions!$C$59/(1-Assumptions!$C$59))</f>
        <v>3880555.9964389019</v>
      </c>
      <c r="U90" s="16">
        <f>U89+U89*(Assumptions!$C$59/(1-Assumptions!$C$59))</f>
        <v>1803907.2998500813</v>
      </c>
      <c r="V90" s="16">
        <f>V89+V89*(Assumptions!$C$59/(1-Assumptions!$C$59))</f>
        <v>1372289.2950835121</v>
      </c>
      <c r="W90" s="16">
        <f>W89+W89*(Assumptions!$C$59/(1-Assumptions!$C$59))</f>
        <v>3875644.8484127065</v>
      </c>
      <c r="X90" s="16">
        <f>X89+X89*(Assumptions!$C$59/(1-Assumptions!$C$59))</f>
        <v>3285788.2648015353</v>
      </c>
      <c r="Y90" s="16">
        <f>Y89+Y89*(Assumptions!$C$59/(1-Assumptions!$C$59))</f>
        <v>3168238.3134785923</v>
      </c>
    </row>
    <row r="92" spans="2:25" x14ac:dyDescent="0.3">
      <c r="B92" t="s">
        <v>112</v>
      </c>
      <c r="E92" s="16">
        <f>E27</f>
        <v>0</v>
      </c>
      <c r="F92" s="16">
        <f t="shared" ref="F92:Y92" si="40">F27</f>
        <v>1929411.7647058829</v>
      </c>
      <c r="G92" s="16">
        <f t="shared" si="40"/>
        <v>3916705.8823529421</v>
      </c>
      <c r="H92" s="16">
        <f t="shared" si="40"/>
        <v>5963618.823529413</v>
      </c>
      <c r="I92" s="16">
        <f t="shared" si="40"/>
        <v>8071939.1529411785</v>
      </c>
      <c r="J92" s="16">
        <f t="shared" si="40"/>
        <v>10243509.092235295</v>
      </c>
      <c r="K92" s="16">
        <f t="shared" si="40"/>
        <v>10550814.365002355</v>
      </c>
      <c r="L92" s="16">
        <f t="shared" si="40"/>
        <v>10867338.795952426</v>
      </c>
      <c r="M92" s="16">
        <f t="shared" si="40"/>
        <v>11193358.959830999</v>
      </c>
      <c r="N92" s="16">
        <f t="shared" si="40"/>
        <v>11529159.728625929</v>
      </c>
      <c r="O92" s="16">
        <f t="shared" si="40"/>
        <v>11875034.520484706</v>
      </c>
      <c r="P92" s="16">
        <f t="shared" si="40"/>
        <v>14212006.812873134</v>
      </c>
      <c r="Q92" s="16">
        <f t="shared" si="40"/>
        <v>14638367.01725933</v>
      </c>
      <c r="R92" s="16">
        <f t="shared" si="40"/>
        <v>16495812.286512414</v>
      </c>
      <c r="S92" s="16">
        <f t="shared" si="40"/>
        <v>16990686.655107785</v>
      </c>
      <c r="T92" s="16">
        <f t="shared" si="40"/>
        <v>21244002.45132561</v>
      </c>
      <c r="U92" s="16">
        <f t="shared" si="40"/>
        <v>23621562.508250166</v>
      </c>
      <c r="V92" s="16">
        <f t="shared" si="40"/>
        <v>25654064.938754704</v>
      </c>
      <c r="W92" s="16">
        <f t="shared" si="40"/>
        <v>30162544.270091955</v>
      </c>
      <c r="X92" s="16">
        <f t="shared" si="40"/>
        <v>34237239.865415022</v>
      </c>
      <c r="Y92" s="16">
        <f t="shared" si="40"/>
        <v>38320775.199086234</v>
      </c>
    </row>
    <row r="93" spans="2:25" x14ac:dyDescent="0.3">
      <c r="B93" t="s">
        <v>113</v>
      </c>
      <c r="E93" s="16">
        <f t="shared" ref="E93:Y93" si="41">E27+E83-E53-E46</f>
        <v>0</v>
      </c>
      <c r="F93" s="16">
        <f t="shared" si="41"/>
        <v>89411.764705882408</v>
      </c>
      <c r="G93" s="16">
        <f t="shared" si="41"/>
        <v>274620</v>
      </c>
      <c r="H93" s="16">
        <f t="shared" si="41"/>
        <v>558753.029411764</v>
      </c>
      <c r="I93" s="16">
        <f t="shared" si="41"/>
        <v>945020.95402941236</v>
      </c>
      <c r="J93" s="16">
        <f t="shared" si="41"/>
        <v>1436718.3281875001</v>
      </c>
      <c r="K93" s="16">
        <f t="shared" si="41"/>
        <v>1947815.1471773519</v>
      </c>
      <c r="L93" s="16">
        <f t="shared" si="41"/>
        <v>2476876.3843765808</v>
      </c>
      <c r="M93" s="16">
        <f t="shared" si="41"/>
        <v>3031005.9817954698</v>
      </c>
      <c r="N93" s="16">
        <f t="shared" si="41"/>
        <v>3610439.3739522025</v>
      </c>
      <c r="O93" s="16">
        <f t="shared" si="41"/>
        <v>4191438.604034666</v>
      </c>
      <c r="P93" s="16">
        <f t="shared" si="41"/>
        <v>4720048.9067952763</v>
      </c>
      <c r="Q93" s="16">
        <f t="shared" si="41"/>
        <v>5453759.9085624842</v>
      </c>
      <c r="R93" s="16">
        <f t="shared" si="41"/>
        <v>6169050.8906780574</v>
      </c>
      <c r="S93" s="16">
        <f t="shared" si="41"/>
        <v>7041848.6785659548</v>
      </c>
      <c r="T93" s="16">
        <f t="shared" si="41"/>
        <v>7802535.9315076787</v>
      </c>
      <c r="U93" s="16">
        <f t="shared" si="41"/>
        <v>8901331.8804428875</v>
      </c>
      <c r="V93" s="16">
        <f t="shared" si="41"/>
        <v>10183268.442678759</v>
      </c>
      <c r="W93" s="16">
        <f t="shared" si="41"/>
        <v>11519748.791332506</v>
      </c>
      <c r="X93" s="16">
        <f t="shared" si="41"/>
        <v>13148672.657198783</v>
      </c>
      <c r="Y93" s="16">
        <f t="shared" si="41"/>
        <v>15067996.829317413</v>
      </c>
    </row>
    <row r="94" spans="2:25" x14ac:dyDescent="0.3">
      <c r="B94" t="s">
        <v>121</v>
      </c>
      <c r="E94" s="39" t="str">
        <f>IFERROR((E$93*Assumptions!$H$39)/(E$40*Assumptions!$G$39),"")</f>
        <v/>
      </c>
      <c r="F94" s="39">
        <f>IFERROR((F$93*Assumptions!$H$39)/(F$40*Assumptions!$G$39),"")</f>
        <v>2.2352941176470602</v>
      </c>
      <c r="G94" s="39">
        <f>IFERROR((G$93*Assumptions!$H$39)/(G$40*Assumptions!$G$39),"")</f>
        <v>3.43275</v>
      </c>
      <c r="H94" s="39">
        <f>IFERROR((H$93*Assumptions!$H$39)/(H$40*Assumptions!$G$39),"")</f>
        <v>4.6562752450980334</v>
      </c>
      <c r="I94" s="39">
        <f>IFERROR((I$93*Assumptions!$H$39)/(I$40*Assumptions!$G$39),"")</f>
        <v>5.9063809626838273</v>
      </c>
      <c r="J94" s="39">
        <f>IFERROR((J$93*Assumptions!$H$39)/(J$40*Assumptions!$G$39),"")</f>
        <v>7.1835916409375002</v>
      </c>
      <c r="K94" s="39">
        <f>IFERROR((K$93*Assumptions!$H$39)/(K$40*Assumptions!$G$39),"")</f>
        <v>9.7390757358867592</v>
      </c>
      <c r="L94" s="39">
        <f>IFERROR((L$93*Assumptions!$H$39)/(L$40*Assumptions!$G$39),"")</f>
        <v>12.384381921882904</v>
      </c>
      <c r="M94" s="39">
        <f>IFERROR((M$93*Assumptions!$H$39)/(M$40*Assumptions!$G$39),"")</f>
        <v>15.155029908977349</v>
      </c>
      <c r="N94" s="39">
        <f>IFERROR((N$93*Assumptions!$H$39)/(N$40*Assumptions!$G$39),"")</f>
        <v>18.052196869761012</v>
      </c>
      <c r="O94" s="39">
        <f>IFERROR((O$93*Assumptions!$H$39)/(O$40*Assumptions!$G$39),"")</f>
        <v>20.957193020173332</v>
      </c>
      <c r="P94" s="39">
        <f>IFERROR((P$93*Assumptions!$H$39)/(P$40*Assumptions!$G$39),"")</f>
        <v>23.600244533976383</v>
      </c>
      <c r="Q94" s="39">
        <f>IFERROR((Q$93*Assumptions!$H$39)/(Q$40*Assumptions!$G$39),"")</f>
        <v>27.26879954281242</v>
      </c>
      <c r="R94" s="39">
        <f>IFERROR((R$93*Assumptions!$H$39)/(R$40*Assumptions!$G$39),"")</f>
        <v>30.845254453390286</v>
      </c>
      <c r="S94" s="39">
        <f>IFERROR((S$93*Assumptions!$H$39)/(S$40*Assumptions!$G$39),"")</f>
        <v>35.209243392829777</v>
      </c>
      <c r="T94" s="39">
        <f>IFERROR((T$93*Assumptions!$H$39)/(T$40*Assumptions!$G$39),"")</f>
        <v>39.012679657538392</v>
      </c>
      <c r="U94" s="39">
        <f>IFERROR((U$93*Assumptions!$H$39)/(U$40*Assumptions!$G$39),"")</f>
        <v>44.506659402214439</v>
      </c>
      <c r="V94" s="39">
        <f>IFERROR((V$93*Assumptions!$H$39)/(V$40*Assumptions!$G$39),"")</f>
        <v>50.916342213393797</v>
      </c>
      <c r="W94" s="39">
        <f>IFERROR((W$93*Assumptions!$H$39)/(W$40*Assumptions!$G$39),"")</f>
        <v>57.598743956662531</v>
      </c>
      <c r="X94" s="39">
        <f>IFERROR((X$93*Assumptions!$H$39)/(X$40*Assumptions!$G$39),"")</f>
        <v>65.743363285993908</v>
      </c>
      <c r="Y94" s="39">
        <f>IFERROR((Y$93*Assumptions!$H$39)/(Y$40*Assumptions!$G$39),"")</f>
        <v>75.339984146587071</v>
      </c>
    </row>
    <row r="95" spans="2:25" hidden="1" outlineLevel="1" x14ac:dyDescent="0.3">
      <c r="F95" s="16">
        <f>IF(AND(F94&gt;2,E94&lt;2),F6,0)</f>
        <v>0</v>
      </c>
      <c r="G95" s="16">
        <f t="shared" ref="G95:Y95" si="42">IF(AND(G94&gt;2,F94&lt;2),G6,0)</f>
        <v>0</v>
      </c>
      <c r="H95" s="16">
        <f t="shared" si="42"/>
        <v>0</v>
      </c>
      <c r="I95" s="16">
        <f t="shared" si="42"/>
        <v>0</v>
      </c>
      <c r="J95" s="16">
        <f t="shared" si="42"/>
        <v>0</v>
      </c>
      <c r="K95" s="16">
        <f t="shared" si="42"/>
        <v>0</v>
      </c>
      <c r="L95" s="16">
        <f t="shared" si="42"/>
        <v>0</v>
      </c>
      <c r="M95" s="16">
        <f t="shared" si="42"/>
        <v>0</v>
      </c>
      <c r="N95" s="16">
        <f t="shared" si="42"/>
        <v>0</v>
      </c>
      <c r="O95" s="16">
        <f t="shared" si="42"/>
        <v>0</v>
      </c>
      <c r="P95" s="16">
        <f t="shared" si="42"/>
        <v>0</v>
      </c>
      <c r="Q95" s="16">
        <f t="shared" si="42"/>
        <v>0</v>
      </c>
      <c r="R95" s="16">
        <f t="shared" si="42"/>
        <v>0</v>
      </c>
      <c r="S95" s="16">
        <f t="shared" si="42"/>
        <v>0</v>
      </c>
      <c r="T95" s="16">
        <f t="shared" si="42"/>
        <v>0</v>
      </c>
      <c r="U95" s="16">
        <f t="shared" si="42"/>
        <v>0</v>
      </c>
      <c r="V95" s="16">
        <f t="shared" si="42"/>
        <v>0</v>
      </c>
      <c r="W95" s="16">
        <f t="shared" si="42"/>
        <v>0</v>
      </c>
      <c r="X95" s="16">
        <f t="shared" si="42"/>
        <v>0</v>
      </c>
      <c r="Y95" s="16">
        <f t="shared" si="42"/>
        <v>0</v>
      </c>
    </row>
    <row r="96" spans="2:25" collapsed="1" x14ac:dyDescent="0.3">
      <c r="B96" t="s">
        <v>122</v>
      </c>
      <c r="E96" s="39" t="str">
        <f t="shared" ref="E96:Y96" si="43">IFERROR(E$93/E$40,"")</f>
        <v/>
      </c>
      <c r="F96" s="39">
        <f t="shared" si="43"/>
        <v>0.55882352941176505</v>
      </c>
      <c r="G96" s="39">
        <f t="shared" si="43"/>
        <v>0.85818749999999999</v>
      </c>
      <c r="H96" s="39">
        <f t="shared" si="43"/>
        <v>1.1640688112745083</v>
      </c>
      <c r="I96" s="39">
        <f t="shared" si="43"/>
        <v>1.4765952406709568</v>
      </c>
      <c r="J96" s="39">
        <f t="shared" si="43"/>
        <v>1.7958979102343751</v>
      </c>
      <c r="K96" s="39">
        <f t="shared" si="43"/>
        <v>2.4347689339716898</v>
      </c>
      <c r="L96" s="39">
        <f t="shared" si="43"/>
        <v>3.0960954804707259</v>
      </c>
      <c r="M96" s="39">
        <f t="shared" si="43"/>
        <v>3.7887574772443373</v>
      </c>
      <c r="N96" s="39">
        <f t="shared" si="43"/>
        <v>4.513049217440253</v>
      </c>
      <c r="O96" s="39">
        <f t="shared" si="43"/>
        <v>5.2392982550433329</v>
      </c>
      <c r="P96" s="39">
        <f t="shared" si="43"/>
        <v>5.9000611334940958</v>
      </c>
      <c r="Q96" s="39">
        <f t="shared" si="43"/>
        <v>6.8171998857031051</v>
      </c>
      <c r="R96" s="39">
        <f t="shared" si="43"/>
        <v>7.7113136133475715</v>
      </c>
      <c r="S96" s="39">
        <f t="shared" si="43"/>
        <v>8.8023108482074441</v>
      </c>
      <c r="T96" s="39">
        <f t="shared" si="43"/>
        <v>9.753169914384598</v>
      </c>
      <c r="U96" s="39">
        <f t="shared" si="43"/>
        <v>11.12666485055361</v>
      </c>
      <c r="V96" s="39">
        <f t="shared" si="43"/>
        <v>12.729085553348449</v>
      </c>
      <c r="W96" s="39">
        <f t="shared" si="43"/>
        <v>14.399685989165633</v>
      </c>
      <c r="X96" s="39">
        <f t="shared" si="43"/>
        <v>16.435840821498477</v>
      </c>
      <c r="Y96" s="39">
        <f t="shared" si="43"/>
        <v>18.834996036646768</v>
      </c>
    </row>
    <row r="97" spans="2:25" hidden="1" outlineLevel="1" x14ac:dyDescent="0.3">
      <c r="F97" s="16">
        <f>IF(AND(F96&gt;2,E96&lt;2),F6,0)</f>
        <v>0</v>
      </c>
      <c r="G97" s="16">
        <f t="shared" ref="G97:Y97" si="44">IF(AND(G96&gt;2,F96&lt;2),G6,0)</f>
        <v>0</v>
      </c>
      <c r="H97" s="16">
        <f t="shared" si="44"/>
        <v>0</v>
      </c>
      <c r="I97" s="16">
        <f t="shared" si="44"/>
        <v>0</v>
      </c>
      <c r="J97" s="16">
        <f t="shared" si="44"/>
        <v>0</v>
      </c>
      <c r="K97" s="16">
        <f t="shared" si="44"/>
        <v>6</v>
      </c>
      <c r="L97" s="16">
        <f t="shared" si="44"/>
        <v>0</v>
      </c>
      <c r="M97" s="16">
        <f t="shared" si="44"/>
        <v>0</v>
      </c>
      <c r="N97" s="16">
        <f t="shared" si="44"/>
        <v>0</v>
      </c>
      <c r="O97" s="16">
        <f t="shared" si="44"/>
        <v>0</v>
      </c>
      <c r="P97" s="16">
        <f t="shared" si="44"/>
        <v>0</v>
      </c>
      <c r="Q97" s="16">
        <f t="shared" si="44"/>
        <v>0</v>
      </c>
      <c r="R97" s="16">
        <f t="shared" si="44"/>
        <v>0</v>
      </c>
      <c r="S97" s="16">
        <f t="shared" si="44"/>
        <v>0</v>
      </c>
      <c r="T97" s="16">
        <f t="shared" si="44"/>
        <v>0</v>
      </c>
      <c r="U97" s="16">
        <f t="shared" si="44"/>
        <v>0</v>
      </c>
      <c r="V97" s="16">
        <f t="shared" si="44"/>
        <v>0</v>
      </c>
      <c r="W97" s="16">
        <f t="shared" si="44"/>
        <v>0</v>
      </c>
      <c r="X97" s="16">
        <f t="shared" si="44"/>
        <v>0</v>
      </c>
      <c r="Y97" s="16">
        <f t="shared" si="44"/>
        <v>0</v>
      </c>
    </row>
    <row r="98" spans="2:25" collapsed="1" x14ac:dyDescent="0.3"/>
    <row r="99" spans="2:25" x14ac:dyDescent="0.3">
      <c r="B99" t="s">
        <v>31</v>
      </c>
      <c r="E99" s="17">
        <v>1</v>
      </c>
      <c r="F99" s="17">
        <f>E99*(1+Assumptions!$C$6)</f>
        <v>1.03</v>
      </c>
      <c r="G99" s="17">
        <f>F99*(1+Assumptions!$C$6)</f>
        <v>1.0609</v>
      </c>
      <c r="H99" s="17">
        <f>G99*(1+Assumptions!$C$6)</f>
        <v>1.092727</v>
      </c>
      <c r="I99" s="17">
        <f>H99*(1+Assumptions!$C$6)</f>
        <v>1.1255088100000001</v>
      </c>
      <c r="J99" s="17">
        <f>I99*(1+Assumptions!$C$6)</f>
        <v>1.1592740743000001</v>
      </c>
      <c r="K99" s="17">
        <f>J99*(1+Assumptions!$C$6)</f>
        <v>1.1940522965290001</v>
      </c>
      <c r="L99" s="17">
        <f>K99*(1+Assumptions!$C$6)</f>
        <v>1.2298738654248702</v>
      </c>
      <c r="M99" s="17">
        <f>L99*(1+Assumptions!$C$6)</f>
        <v>1.2667700813876164</v>
      </c>
      <c r="N99" s="17">
        <f>M99*(1+Assumptions!$C$6)</f>
        <v>1.3047731838292449</v>
      </c>
      <c r="O99" s="17">
        <f>N99*(1+Assumptions!$C$6)</f>
        <v>1.3439163793441222</v>
      </c>
      <c r="P99" s="17">
        <f>O99*(1+Assumptions!$C$6)</f>
        <v>1.3842338707244459</v>
      </c>
      <c r="Q99" s="17">
        <f>P99*(1+Assumptions!$C$6)</f>
        <v>1.4257608868461793</v>
      </c>
      <c r="R99" s="17">
        <f>Q99*(1+Assumptions!$C$6)</f>
        <v>1.4685337134515648</v>
      </c>
      <c r="S99" s="17">
        <f>R99*(1+Assumptions!$C$6)</f>
        <v>1.5125897248551119</v>
      </c>
      <c r="T99" s="17">
        <f>S99*(1+Assumptions!$C$6)</f>
        <v>1.5579674166007653</v>
      </c>
      <c r="U99" s="17">
        <f>T99*(1+Assumptions!$C$6)</f>
        <v>1.6047064390987884</v>
      </c>
      <c r="V99" s="17">
        <f>U99*(1+Assumptions!$C$6)</f>
        <v>1.652847632271752</v>
      </c>
      <c r="W99" s="17">
        <f>V99*(1+Assumptions!$C$6)</f>
        <v>1.7024330612399046</v>
      </c>
      <c r="X99" s="17">
        <f>W99*(1+Assumptions!$C$6)</f>
        <v>1.7535060530771018</v>
      </c>
      <c r="Y99" s="17">
        <f>X99*(1+Assumptions!$C$6)</f>
        <v>1.806111234669415</v>
      </c>
    </row>
    <row r="101" spans="2:25" x14ac:dyDescent="0.3">
      <c r="B101" t="s">
        <v>111</v>
      </c>
    </row>
    <row r="102" spans="2:25" x14ac:dyDescent="0.3">
      <c r="B102" t="s">
        <v>24</v>
      </c>
      <c r="E102" s="16">
        <f t="shared" ref="E102:Y102" si="45">E12-E39-E44-E50-E51-E82</f>
        <v>0</v>
      </c>
      <c r="F102" s="16">
        <f t="shared" si="45"/>
        <v>0</v>
      </c>
      <c r="G102" s="16">
        <f t="shared" si="45"/>
        <v>0</v>
      </c>
      <c r="H102" s="16">
        <f t="shared" si="45"/>
        <v>0</v>
      </c>
      <c r="I102" s="16">
        <f t="shared" si="45"/>
        <v>0</v>
      </c>
      <c r="J102" s="16">
        <f t="shared" si="45"/>
        <v>0</v>
      </c>
      <c r="K102" s="16">
        <f t="shared" si="45"/>
        <v>0</v>
      </c>
      <c r="L102" s="16">
        <f t="shared" si="45"/>
        <v>0</v>
      </c>
      <c r="M102" s="16">
        <f t="shared" si="45"/>
        <v>0</v>
      </c>
      <c r="N102" s="16">
        <f t="shared" si="45"/>
        <v>0</v>
      </c>
      <c r="O102" s="16">
        <f t="shared" si="45"/>
        <v>0</v>
      </c>
      <c r="P102" s="16">
        <f t="shared" si="45"/>
        <v>0</v>
      </c>
      <c r="Q102" s="16">
        <f t="shared" si="45"/>
        <v>0</v>
      </c>
      <c r="R102" s="16">
        <f t="shared" si="45"/>
        <v>0</v>
      </c>
      <c r="S102" s="16">
        <f t="shared" si="45"/>
        <v>0</v>
      </c>
      <c r="T102" s="16">
        <f t="shared" si="45"/>
        <v>0</v>
      </c>
      <c r="U102" s="16">
        <f t="shared" si="45"/>
        <v>0</v>
      </c>
      <c r="V102" s="16">
        <f t="shared" si="45"/>
        <v>0</v>
      </c>
      <c r="W102" s="16">
        <f t="shared" si="45"/>
        <v>0</v>
      </c>
      <c r="X102" s="16">
        <f t="shared" si="45"/>
        <v>0</v>
      </c>
      <c r="Y102" s="16">
        <f t="shared" si="45"/>
        <v>0</v>
      </c>
    </row>
    <row r="103" spans="2:25" x14ac:dyDescent="0.3">
      <c r="B103" t="s">
        <v>82</v>
      </c>
      <c r="E103" s="16">
        <f>E74+E78-SUM(E80:E82)-E83</f>
        <v>0</v>
      </c>
      <c r="F103" s="16">
        <f t="shared" ref="F103:Y104" si="46">F74+F78-SUM(F80:F82)-F83</f>
        <v>0</v>
      </c>
      <c r="G103" s="16">
        <f t="shared" si="46"/>
        <v>0</v>
      </c>
      <c r="H103" s="16">
        <f t="shared" si="46"/>
        <v>0</v>
      </c>
      <c r="I103" s="16">
        <f t="shared" si="46"/>
        <v>0</v>
      </c>
      <c r="J103" s="16">
        <f t="shared" si="46"/>
        <v>0</v>
      </c>
      <c r="K103" s="16">
        <f t="shared" si="46"/>
        <v>0</v>
      </c>
      <c r="L103" s="16">
        <f t="shared" si="46"/>
        <v>0</v>
      </c>
      <c r="M103" s="16">
        <f t="shared" si="46"/>
        <v>0</v>
      </c>
      <c r="N103" s="16">
        <f t="shared" si="46"/>
        <v>0</v>
      </c>
      <c r="O103" s="16">
        <f t="shared" si="46"/>
        <v>0</v>
      </c>
      <c r="P103" s="16">
        <f t="shared" si="46"/>
        <v>0</v>
      </c>
      <c r="Q103" s="16">
        <f t="shared" si="46"/>
        <v>0</v>
      </c>
      <c r="R103" s="16">
        <f t="shared" si="46"/>
        <v>0</v>
      </c>
      <c r="S103" s="16">
        <f t="shared" si="46"/>
        <v>0</v>
      </c>
      <c r="T103" s="16">
        <f t="shared" si="46"/>
        <v>0</v>
      </c>
      <c r="U103" s="16">
        <f t="shared" si="46"/>
        <v>0</v>
      </c>
      <c r="V103" s="16">
        <f t="shared" si="46"/>
        <v>0</v>
      </c>
      <c r="W103" s="16">
        <f t="shared" si="46"/>
        <v>0</v>
      </c>
      <c r="X103" s="16">
        <f t="shared" si="46"/>
        <v>0</v>
      </c>
      <c r="Y103" s="16">
        <f t="shared" si="46"/>
        <v>0</v>
      </c>
    </row>
    <row r="104" spans="2:25" x14ac:dyDescent="0.3">
      <c r="L104" s="16">
        <f>IF(AND(SUM($K12:K12)=0,L12&gt;0),L6,0)</f>
        <v>0</v>
      </c>
      <c r="M104" s="16">
        <f>IF(AND(SUM($K12:L12)=0,M12&gt;0),M6,0)</f>
        <v>0</v>
      </c>
      <c r="N104" s="16">
        <f>IF(AND(SUM($K12:M12)=0,N12&gt;0),N6,0)</f>
        <v>0</v>
      </c>
      <c r="O104" s="16">
        <f>IF(AND(SUM($K12:N12)=0,O12&gt;0),O6,0)</f>
        <v>0</v>
      </c>
      <c r="P104" s="16">
        <f>IF(AND(SUM($K12:O12)=0,P12&gt;0),P6,0)</f>
        <v>11</v>
      </c>
      <c r="Q104" s="16">
        <f>IF(AND(SUM($K12:P12)=0,Q12&gt;0),Q6,0)</f>
        <v>0</v>
      </c>
      <c r="R104" s="16">
        <f>IF(AND(SUM($K12:Q12)=0,R12&gt;0),R6,0)</f>
        <v>0</v>
      </c>
      <c r="S104" s="16">
        <f>IF(AND(SUM($K12:R12)=0,S12&gt;0),S6,0)</f>
        <v>0</v>
      </c>
      <c r="T104" s="16">
        <f>IF(AND(SUM($K12:S12)=0,T12&gt;0),T6,0)</f>
        <v>0</v>
      </c>
      <c r="U104" s="16">
        <f>IF(AND(SUM($K12:T12)=0,U12&gt;0),U6,0)</f>
        <v>0</v>
      </c>
      <c r="V104" s="16">
        <f>IF(AND(SUM($K12:U12)=0,V12&gt;0),V6,0)</f>
        <v>0</v>
      </c>
      <c r="W104" s="16">
        <f>IF(AND(SUM($K12:V12)=0,W12&gt;0),W6,0)</f>
        <v>0</v>
      </c>
      <c r="X104" s="16">
        <f>IF(AND(SUM($K12:W12)=0,X12&gt;0),X6,0)</f>
        <v>0</v>
      </c>
      <c r="Y104" s="16">
        <f>IF(AND(SUM($K12:X12)=0,Y12&gt;0),Y6,0)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Dashboard</vt:lpstr>
      <vt:lpstr>Assumptions</vt:lpstr>
      <vt:lpstr>Model</vt:lpstr>
      <vt:lpstr>Manual_Input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</dc:creator>
  <cp:lastModifiedBy>S C</cp:lastModifiedBy>
  <dcterms:created xsi:type="dcterms:W3CDTF">2024-01-22T17:38:54Z</dcterms:created>
  <dcterms:modified xsi:type="dcterms:W3CDTF">2024-06-06T18:08:37Z</dcterms:modified>
</cp:coreProperties>
</file>