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mp\OneDrive\Documents\Sean Work\Consulting\Chicago Community WEB\Contract Admin\Reporting\Materials for reports\"/>
    </mc:Choice>
  </mc:AlternateContent>
  <xr:revisionPtr revIDLastSave="0" documentId="8_{D07BA3EB-6EE7-4F3F-88A8-57A31A32DEA8}" xr6:coauthVersionLast="47" xr6:coauthVersionMax="47" xr10:uidLastSave="{00000000-0000-0000-0000-000000000000}"/>
  <bookViews>
    <workbookView xWindow="-108" yWindow="-108" windowWidth="23256" windowHeight="14856" xr2:uid="{F7150CD9-6D6F-40A5-80CB-349DCEB1CDF8}"/>
  </bookViews>
  <sheets>
    <sheet name="Dashboard" sheetId="7" r:id="rId1"/>
    <sheet name="Assumptions" sheetId="2" r:id="rId2"/>
    <sheet name="Model" sheetId="1" r:id="rId3"/>
  </sheets>
  <definedNames>
    <definedName name="Manual_Input">Assumptions!$F$61:$T$61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7" l="1"/>
  <c r="D20" i="7"/>
  <c r="D13" i="7"/>
  <c r="D12" i="7"/>
  <c r="D11" i="7"/>
  <c r="D10" i="7"/>
  <c r="D9" i="7"/>
  <c r="D8" i="7"/>
  <c r="D7" i="7"/>
  <c r="D6" i="7"/>
  <c r="D19" i="7"/>
  <c r="G70" i="1"/>
  <c r="F70" i="1"/>
  <c r="E80" i="1" l="1"/>
  <c r="E51" i="1" s="1"/>
  <c r="E50" i="1"/>
  <c r="Y82" i="1"/>
  <c r="E83" i="1"/>
  <c r="E65" i="1" l="1"/>
  <c r="E61" i="1"/>
  <c r="E22" i="1"/>
  <c r="C50" i="1"/>
  <c r="F52" i="1"/>
  <c r="F62" i="1" s="1"/>
  <c r="E52" i="1"/>
  <c r="E35" i="1"/>
  <c r="E36" i="1" s="1"/>
  <c r="F33" i="1" s="1"/>
  <c r="E43" i="1"/>
  <c r="E41" i="2"/>
  <c r="E39" i="2"/>
  <c r="F39" i="2" s="1"/>
  <c r="C42" i="2"/>
  <c r="E62" i="1" l="1"/>
  <c r="E53" i="1"/>
  <c r="E49" i="1"/>
  <c r="E88" i="1" s="1"/>
  <c r="E87" i="1"/>
  <c r="E42" i="2"/>
  <c r="F41" i="2"/>
  <c r="E39" i="1"/>
  <c r="E100" i="1" s="1"/>
  <c r="F40" i="2"/>
  <c r="F42" i="2" l="1"/>
  <c r="H41" i="2" l="1"/>
  <c r="G39" i="2"/>
  <c r="G41" i="2"/>
  <c r="H39" i="2"/>
  <c r="C49" i="2" s="1"/>
  <c r="D12" i="2" l="1"/>
  <c r="F6" i="1" l="1"/>
  <c r="F34" i="1" s="1"/>
  <c r="G6" i="1" l="1"/>
  <c r="G34" i="1" s="1"/>
  <c r="H6" i="1" l="1"/>
  <c r="H34" i="1" s="1"/>
  <c r="C44" i="1"/>
  <c r="C39" i="1"/>
  <c r="E17" i="1"/>
  <c r="E13" i="1"/>
  <c r="F97" i="1"/>
  <c r="F43" i="1"/>
  <c r="F49" i="1" s="1"/>
  <c r="E40" i="1"/>
  <c r="E4" i="1"/>
  <c r="F68" i="1" l="1"/>
  <c r="F83" i="1"/>
  <c r="G97" i="1"/>
  <c r="F22" i="1"/>
  <c r="F15" i="1"/>
  <c r="I6" i="1"/>
  <c r="I34" i="1" s="1"/>
  <c r="F4" i="1"/>
  <c r="G4" i="1" s="1"/>
  <c r="H4" i="1" s="1"/>
  <c r="H5" i="1" s="1"/>
  <c r="E5" i="1"/>
  <c r="F38" i="1"/>
  <c r="F11" i="1"/>
  <c r="G68" i="1" l="1"/>
  <c r="G83" i="1"/>
  <c r="H97" i="1"/>
  <c r="G22" i="1"/>
  <c r="J6" i="1"/>
  <c r="J34" i="1" s="1"/>
  <c r="F5" i="1"/>
  <c r="G5" i="1"/>
  <c r="I4" i="1"/>
  <c r="J4" i="1" s="1"/>
  <c r="H68" i="1" l="1"/>
  <c r="H83" i="1"/>
  <c r="I97" i="1"/>
  <c r="H22" i="1"/>
  <c r="K6" i="1"/>
  <c r="K34" i="1" s="1"/>
  <c r="I5" i="1"/>
  <c r="J5" i="1"/>
  <c r="K4" i="1"/>
  <c r="I68" i="1" l="1"/>
  <c r="I83" i="1"/>
  <c r="J97" i="1"/>
  <c r="I22" i="1"/>
  <c r="L6" i="1"/>
  <c r="L34" i="1" s="1"/>
  <c r="K5" i="1"/>
  <c r="L4" i="1"/>
  <c r="J68" i="1" l="1"/>
  <c r="J83" i="1"/>
  <c r="K97" i="1"/>
  <c r="J22" i="1"/>
  <c r="M6" i="1"/>
  <c r="M34" i="1" s="1"/>
  <c r="L5" i="1"/>
  <c r="M4" i="1"/>
  <c r="K68" i="1" l="1"/>
  <c r="K83" i="1"/>
  <c r="L97" i="1"/>
  <c r="K22" i="1"/>
  <c r="N6" i="1"/>
  <c r="N34" i="1" s="1"/>
  <c r="M5" i="1"/>
  <c r="N4" i="1"/>
  <c r="L68" i="1" l="1"/>
  <c r="L83" i="1"/>
  <c r="M97" i="1"/>
  <c r="L22" i="1"/>
  <c r="O6" i="1"/>
  <c r="O34" i="1" s="1"/>
  <c r="N5" i="1"/>
  <c r="O4" i="1"/>
  <c r="M68" i="1" l="1"/>
  <c r="M83" i="1"/>
  <c r="N97" i="1"/>
  <c r="M22" i="1"/>
  <c r="P6" i="1"/>
  <c r="P34" i="1" s="1"/>
  <c r="O5" i="1"/>
  <c r="P4" i="1"/>
  <c r="N68" i="1" l="1"/>
  <c r="N83" i="1"/>
  <c r="O97" i="1"/>
  <c r="N22" i="1"/>
  <c r="Q6" i="1"/>
  <c r="Q34" i="1" s="1"/>
  <c r="P5" i="1"/>
  <c r="Q4" i="1"/>
  <c r="O68" i="1" l="1"/>
  <c r="O83" i="1"/>
  <c r="P97" i="1"/>
  <c r="O22" i="1"/>
  <c r="R6" i="1"/>
  <c r="R34" i="1" s="1"/>
  <c r="Q5" i="1"/>
  <c r="R4" i="1"/>
  <c r="P68" i="1" l="1"/>
  <c r="P83" i="1"/>
  <c r="Q97" i="1"/>
  <c r="P22" i="1"/>
  <c r="S6" i="1"/>
  <c r="S34" i="1" s="1"/>
  <c r="S4" i="1"/>
  <c r="R5" i="1"/>
  <c r="Q68" i="1" l="1"/>
  <c r="Q83" i="1"/>
  <c r="R97" i="1"/>
  <c r="Q22" i="1"/>
  <c r="T6" i="1"/>
  <c r="T34" i="1" s="1"/>
  <c r="S5" i="1"/>
  <c r="T4" i="1"/>
  <c r="R68" i="1" l="1"/>
  <c r="R83" i="1"/>
  <c r="S97" i="1"/>
  <c r="R22" i="1"/>
  <c r="U6" i="1"/>
  <c r="U34" i="1" s="1"/>
  <c r="T5" i="1"/>
  <c r="U4" i="1"/>
  <c r="S68" i="1" l="1"/>
  <c r="S83" i="1"/>
  <c r="T97" i="1"/>
  <c r="S22" i="1"/>
  <c r="V6" i="1"/>
  <c r="V34" i="1" s="1"/>
  <c r="U5" i="1"/>
  <c r="V4" i="1"/>
  <c r="T68" i="1" l="1"/>
  <c r="T83" i="1"/>
  <c r="U97" i="1"/>
  <c r="T22" i="1"/>
  <c r="W6" i="1"/>
  <c r="W34" i="1" s="1"/>
  <c r="V5" i="1"/>
  <c r="W4" i="1"/>
  <c r="U68" i="1" l="1"/>
  <c r="U83" i="1"/>
  <c r="V97" i="1"/>
  <c r="U22" i="1"/>
  <c r="X6" i="1"/>
  <c r="X34" i="1" s="1"/>
  <c r="W5" i="1"/>
  <c r="X4" i="1"/>
  <c r="V68" i="1" l="1"/>
  <c r="V83" i="1"/>
  <c r="W97" i="1"/>
  <c r="V22" i="1"/>
  <c r="Y6" i="1"/>
  <c r="Y34" i="1" s="1"/>
  <c r="X5" i="1"/>
  <c r="Y4" i="1"/>
  <c r="W68" i="1" l="1"/>
  <c r="W83" i="1"/>
  <c r="X97" i="1"/>
  <c r="W22" i="1"/>
  <c r="Y5" i="1"/>
  <c r="X68" i="1" l="1"/>
  <c r="X83" i="1"/>
  <c r="Y97" i="1"/>
  <c r="Y83" i="1" s="1"/>
  <c r="X22" i="1"/>
  <c r="Y22" i="1" l="1"/>
  <c r="Y68" i="1"/>
  <c r="D17" i="2" l="1"/>
  <c r="D14" i="2"/>
  <c r="E14" i="2" l="1"/>
  <c r="E21" i="1" s="1"/>
  <c r="L21" i="1" s="1"/>
  <c r="D22" i="2"/>
  <c r="E20" i="1" s="1"/>
  <c r="E29" i="1" s="1"/>
  <c r="D24" i="2" l="1"/>
  <c r="C30" i="2"/>
  <c r="E19" i="1" s="1"/>
  <c r="E60" i="1"/>
  <c r="E63" i="1" s="1"/>
  <c r="V21" i="1"/>
  <c r="J21" i="1"/>
  <c r="I21" i="1"/>
  <c r="R21" i="1"/>
  <c r="W21" i="1"/>
  <c r="U21" i="1"/>
  <c r="H21" i="1"/>
  <c r="Q21" i="1"/>
  <c r="P21" i="1"/>
  <c r="F21" i="1"/>
  <c r="N21" i="1"/>
  <c r="Y21" i="1"/>
  <c r="X21" i="1"/>
  <c r="T21" i="1"/>
  <c r="O21" i="1"/>
  <c r="K21" i="1"/>
  <c r="S21" i="1"/>
  <c r="G21" i="1"/>
  <c r="M21" i="1"/>
  <c r="E66" i="1" l="1"/>
  <c r="E45" i="1" s="1"/>
  <c r="E46" i="1" s="1"/>
  <c r="P19" i="1"/>
  <c r="S19" i="1"/>
  <c r="W19" i="1"/>
  <c r="T19" i="1"/>
  <c r="O19" i="1"/>
  <c r="M19" i="1"/>
  <c r="L19" i="1"/>
  <c r="H19" i="1"/>
  <c r="R19" i="1"/>
  <c r="Q19" i="1"/>
  <c r="G19" i="1"/>
  <c r="V19" i="1"/>
  <c r="F19" i="1"/>
  <c r="J19" i="1"/>
  <c r="Y19" i="1"/>
  <c r="K19" i="1"/>
  <c r="X19" i="1"/>
  <c r="U19" i="1"/>
  <c r="N19" i="1"/>
  <c r="I19" i="1"/>
  <c r="K20" i="1"/>
  <c r="W20" i="1"/>
  <c r="R20" i="1"/>
  <c r="S20" i="1"/>
  <c r="L20" i="1"/>
  <c r="X20" i="1"/>
  <c r="N20" i="1"/>
  <c r="O20" i="1"/>
  <c r="F20" i="1"/>
  <c r="G20" i="1"/>
  <c r="M20" i="1"/>
  <c r="Y20" i="1"/>
  <c r="H20" i="1"/>
  <c r="T20" i="1"/>
  <c r="I20" i="1"/>
  <c r="U20" i="1"/>
  <c r="J20" i="1"/>
  <c r="V20" i="1"/>
  <c r="P20" i="1"/>
  <c r="Q20" i="1"/>
  <c r="E23" i="1"/>
  <c r="E24" i="1" s="1"/>
  <c r="E69" i="1" l="1"/>
  <c r="E72" i="1" s="1"/>
  <c r="E77" i="1" s="1"/>
  <c r="E27" i="1"/>
  <c r="E90" i="1" s="1"/>
  <c r="E26" i="1"/>
  <c r="F29" i="1"/>
  <c r="F23" i="1"/>
  <c r="F24" i="1" s="1"/>
  <c r="I23" i="1"/>
  <c r="I24" i="1" s="1"/>
  <c r="U23" i="1"/>
  <c r="U24" i="1" s="1"/>
  <c r="V23" i="1"/>
  <c r="V24" i="1" s="1"/>
  <c r="K23" i="1"/>
  <c r="K24" i="1" s="1"/>
  <c r="G23" i="1"/>
  <c r="G24" i="1" s="1"/>
  <c r="J23" i="1"/>
  <c r="J24" i="1" s="1"/>
  <c r="T23" i="1"/>
  <c r="T24" i="1" s="1"/>
  <c r="W23" i="1"/>
  <c r="W24" i="1" s="1"/>
  <c r="L23" i="1"/>
  <c r="L24" i="1" s="1"/>
  <c r="X23" i="1"/>
  <c r="X24" i="1" s="1"/>
  <c r="Q23" i="1"/>
  <c r="Q24" i="1" s="1"/>
  <c r="S23" i="1"/>
  <c r="S24" i="1" s="1"/>
  <c r="M23" i="1"/>
  <c r="M24" i="1" s="1"/>
  <c r="Y23" i="1"/>
  <c r="Y24" i="1" s="1"/>
  <c r="N23" i="1"/>
  <c r="N24" i="1" s="1"/>
  <c r="O23" i="1"/>
  <c r="O24" i="1" s="1"/>
  <c r="P23" i="1"/>
  <c r="P24" i="1" s="1"/>
  <c r="R23" i="1"/>
  <c r="R24" i="1" s="1"/>
  <c r="H23" i="1"/>
  <c r="H24" i="1" s="1"/>
  <c r="F60" i="1" l="1"/>
  <c r="F26" i="1"/>
  <c r="F42" i="1"/>
  <c r="F65" i="1" s="1"/>
  <c r="E78" i="1"/>
  <c r="E79" i="1" l="1"/>
  <c r="E81" i="1" s="1"/>
  <c r="E91" i="1" s="1"/>
  <c r="E94" i="1" l="1"/>
  <c r="E92" i="1"/>
  <c r="E101" i="1"/>
  <c r="F76" i="1"/>
  <c r="E56" i="1" l="1"/>
  <c r="F48" i="1" l="1"/>
  <c r="F61" i="1" l="1"/>
  <c r="F63" i="1" s="1"/>
  <c r="F66" i="1" l="1"/>
  <c r="F45" i="1" s="1"/>
  <c r="F69" i="1" l="1"/>
  <c r="F72" i="1" s="1"/>
  <c r="F77" i="1" l="1"/>
  <c r="F78" i="1"/>
  <c r="F79" i="1" s="1"/>
  <c r="E82" i="1" l="1"/>
  <c r="E84" i="1" s="1"/>
  <c r="F87" i="1" l="1"/>
  <c r="F88" i="1" s="1"/>
  <c r="F12" i="1" s="1"/>
  <c r="F80" i="1" l="1"/>
  <c r="F51" i="1" s="1"/>
  <c r="F35" i="1"/>
  <c r="F36" i="1" s="1"/>
  <c r="G33" i="1" s="1"/>
  <c r="F13" i="1"/>
  <c r="F50" i="1"/>
  <c r="F39" i="1" l="1"/>
  <c r="F40" i="1" s="1"/>
  <c r="F81" i="1"/>
  <c r="G76" i="1" s="1"/>
  <c r="F53" i="1"/>
  <c r="G11" i="1"/>
  <c r="F101" i="1" l="1"/>
  <c r="G38" i="1"/>
  <c r="F44" i="1"/>
  <c r="G48" i="1"/>
  <c r="F56" i="1"/>
  <c r="F16" i="1" s="1"/>
  <c r="F17" i="1" s="1"/>
  <c r="F100" i="1" l="1"/>
  <c r="G61" i="1"/>
  <c r="F46" i="1"/>
  <c r="G43" i="1"/>
  <c r="G49" i="1" s="1"/>
  <c r="G15" i="1"/>
  <c r="F27" i="1"/>
  <c r="F54" i="1" l="1"/>
  <c r="G52" i="1" s="1"/>
  <c r="G62" i="1" s="1"/>
  <c r="F91" i="1"/>
  <c r="F90" i="1"/>
  <c r="G42" i="1"/>
  <c r="G65" i="1" s="1"/>
  <c r="G29" i="1"/>
  <c r="G26" i="1"/>
  <c r="F92" i="1" l="1"/>
  <c r="F93" i="1" s="1"/>
  <c r="F94" i="1"/>
  <c r="F95" i="1" s="1"/>
  <c r="G60" i="1"/>
  <c r="G63" i="1" s="1"/>
  <c r="G66" i="1" s="1"/>
  <c r="G45" i="1" s="1"/>
  <c r="G69" i="1" l="1"/>
  <c r="G72" i="1" s="1"/>
  <c r="G77" i="1" l="1"/>
  <c r="G78" i="1" s="1"/>
  <c r="G79" i="1" l="1"/>
  <c r="F82" i="1" l="1"/>
  <c r="F84" i="1" s="1"/>
  <c r="G87" i="1" l="1"/>
  <c r="G88" i="1" s="1"/>
  <c r="G12" i="1" s="1"/>
  <c r="G80" i="1" l="1"/>
  <c r="G13" i="1"/>
  <c r="G35" i="1"/>
  <c r="G50" i="1"/>
  <c r="G81" i="1" l="1"/>
  <c r="H76" i="1" s="1"/>
  <c r="G101" i="1"/>
  <c r="G51" i="1"/>
  <c r="G53" i="1" s="1"/>
  <c r="G44" i="1"/>
  <c r="G56" i="1"/>
  <c r="G16" i="1" s="1"/>
  <c r="G17" i="1" s="1"/>
  <c r="G36" i="1"/>
  <c r="H33" i="1" s="1"/>
  <c r="G39" i="1"/>
  <c r="H11" i="1"/>
  <c r="G100" i="1" l="1"/>
  <c r="G40" i="1"/>
  <c r="H43" i="1"/>
  <c r="H49" i="1" s="1"/>
  <c r="G46" i="1"/>
  <c r="H42" i="1" s="1"/>
  <c r="H15" i="1"/>
  <c r="G27" i="1"/>
  <c r="H48" i="1"/>
  <c r="G90" i="1" l="1"/>
  <c r="G91" i="1"/>
  <c r="H61" i="1"/>
  <c r="G55" i="1"/>
  <c r="G54" i="1"/>
  <c r="H52" i="1" s="1"/>
  <c r="H62" i="1" s="1"/>
  <c r="H29" i="1"/>
  <c r="H26" i="1"/>
  <c r="H38" i="1"/>
  <c r="H65" i="1"/>
  <c r="G92" i="1" l="1"/>
  <c r="G93" i="1" s="1"/>
  <c r="G94" i="1"/>
  <c r="G95" i="1" s="1"/>
  <c r="H60" i="1"/>
  <c r="H63" i="1" s="1"/>
  <c r="H66" i="1" s="1"/>
  <c r="H45" i="1" s="1"/>
  <c r="H69" i="1" l="1"/>
  <c r="H70" i="1" l="1"/>
  <c r="H72" i="1" s="1"/>
  <c r="H77" i="1" s="1"/>
  <c r="H78" i="1" s="1"/>
  <c r="H79" i="1" l="1"/>
  <c r="G82" i="1" s="1"/>
  <c r="G84" i="1" s="1"/>
  <c r="H87" i="1" l="1"/>
  <c r="H88" i="1" s="1"/>
  <c r="H12" i="1" s="1"/>
  <c r="H80" i="1" l="1"/>
  <c r="H13" i="1"/>
  <c r="H35" i="1"/>
  <c r="H36" i="1" s="1"/>
  <c r="I33" i="1" s="1"/>
  <c r="H50" i="1"/>
  <c r="H56" i="1" s="1"/>
  <c r="H81" i="1" l="1"/>
  <c r="I76" i="1" s="1"/>
  <c r="H51" i="1"/>
  <c r="H53" i="1" s="1"/>
  <c r="H44" i="1"/>
  <c r="H39" i="1"/>
  <c r="I11" i="1"/>
  <c r="H16" i="1"/>
  <c r="H17" i="1" s="1"/>
  <c r="H101" i="1" l="1"/>
  <c r="H100" i="1"/>
  <c r="I48" i="1"/>
  <c r="I61" i="1" s="1"/>
  <c r="H40" i="1"/>
  <c r="I43" i="1"/>
  <c r="H46" i="1"/>
  <c r="H27" i="1"/>
  <c r="I15" i="1"/>
  <c r="H90" i="1" l="1"/>
  <c r="H91" i="1"/>
  <c r="I38" i="1"/>
  <c r="H55" i="1"/>
  <c r="H54" i="1"/>
  <c r="I52" i="1" s="1"/>
  <c r="I62" i="1" s="1"/>
  <c r="I42" i="1"/>
  <c r="I26" i="1"/>
  <c r="I29" i="1"/>
  <c r="I49" i="1"/>
  <c r="H92" i="1" l="1"/>
  <c r="H93" i="1" s="1"/>
  <c r="H94" i="1"/>
  <c r="H95" i="1" s="1"/>
  <c r="I60" i="1"/>
  <c r="I63" i="1" s="1"/>
  <c r="I65" i="1"/>
  <c r="I66" i="1" l="1"/>
  <c r="I45" i="1" s="1"/>
  <c r="I69" i="1" l="1"/>
  <c r="I70" i="1" l="1"/>
  <c r="I72" i="1" s="1"/>
  <c r="I77" i="1" s="1"/>
  <c r="I78" i="1" l="1"/>
  <c r="I79" i="1" s="1"/>
  <c r="H82" i="1" s="1"/>
  <c r="H84" i="1" s="1"/>
  <c r="I87" i="1" s="1"/>
  <c r="I88" i="1" s="1"/>
  <c r="I12" i="1" s="1"/>
  <c r="I50" i="1" s="1"/>
  <c r="I80" i="1" l="1"/>
  <c r="I81" i="1" s="1"/>
  <c r="J76" i="1" s="1"/>
  <c r="I13" i="1"/>
  <c r="I35" i="1"/>
  <c r="I44" i="1" s="1"/>
  <c r="I56" i="1"/>
  <c r="I16" i="1" s="1"/>
  <c r="I17" i="1" s="1"/>
  <c r="I51" i="1" l="1"/>
  <c r="I53" i="1" s="1"/>
  <c r="I101" i="1"/>
  <c r="I39" i="1"/>
  <c r="I36" i="1"/>
  <c r="J33" i="1" s="1"/>
  <c r="J11" i="1"/>
  <c r="I27" i="1"/>
  <c r="J15" i="1"/>
  <c r="J29" i="1"/>
  <c r="J26" i="1"/>
  <c r="J43" i="1"/>
  <c r="I46" i="1"/>
  <c r="I54" i="1" l="1"/>
  <c r="I55" i="1"/>
  <c r="I40" i="1"/>
  <c r="I100" i="1"/>
  <c r="J60" i="1"/>
  <c r="I91" i="1"/>
  <c r="I90" i="1"/>
  <c r="J48" i="1"/>
  <c r="J61" i="1" s="1"/>
  <c r="J42" i="1"/>
  <c r="J49" i="1"/>
  <c r="I92" i="1" l="1"/>
  <c r="I93" i="1" s="1"/>
  <c r="I94" i="1"/>
  <c r="I95" i="1" s="1"/>
  <c r="J38" i="1"/>
  <c r="J52" i="1"/>
  <c r="J62" i="1" s="1"/>
  <c r="J63" i="1" s="1"/>
  <c r="J65" i="1"/>
  <c r="J66" i="1" l="1"/>
  <c r="J45" i="1" s="1"/>
  <c r="J69" i="1" l="1"/>
  <c r="J70" i="1" s="1"/>
  <c r="J72" i="1" l="1"/>
  <c r="J77" i="1" l="1"/>
  <c r="J78" i="1" s="1"/>
  <c r="J79" i="1" l="1"/>
  <c r="I82" i="1" l="1"/>
  <c r="I84" i="1" s="1"/>
  <c r="J87" i="1" l="1"/>
  <c r="J88" i="1" s="1"/>
  <c r="J12" i="1" s="1"/>
  <c r="J80" i="1" l="1"/>
  <c r="J13" i="1"/>
  <c r="J35" i="1"/>
  <c r="J39" i="1" s="1"/>
  <c r="J50" i="1"/>
  <c r="J81" i="1" l="1"/>
  <c r="K76" i="1" s="1"/>
  <c r="J44" i="1"/>
  <c r="J51" i="1"/>
  <c r="J53" i="1" s="1"/>
  <c r="J56" i="1"/>
  <c r="J16" i="1" s="1"/>
  <c r="J17" i="1" s="1"/>
  <c r="K15" i="1" s="1"/>
  <c r="J36" i="1"/>
  <c r="K33" i="1" s="1"/>
  <c r="K11" i="1"/>
  <c r="J40" i="1"/>
  <c r="J101" i="1" l="1"/>
  <c r="J46" i="1"/>
  <c r="K42" i="1" s="1"/>
  <c r="K43" i="1"/>
  <c r="K49" i="1" s="1"/>
  <c r="J100" i="1"/>
  <c r="J27" i="1"/>
  <c r="K48" i="1"/>
  <c r="J55" i="1"/>
  <c r="K26" i="1"/>
  <c r="K29" i="1"/>
  <c r="K38" i="1"/>
  <c r="J54" i="1" l="1"/>
  <c r="K52" i="1" s="1"/>
  <c r="K62" i="1" s="1"/>
  <c r="J90" i="1"/>
  <c r="J91" i="1"/>
  <c r="K60" i="1"/>
  <c r="K61" i="1"/>
  <c r="K65" i="1"/>
  <c r="J92" i="1" l="1"/>
  <c r="J93" i="1" s="1"/>
  <c r="J94" i="1"/>
  <c r="J95" i="1" s="1"/>
  <c r="K63" i="1"/>
  <c r="K66" i="1" s="1"/>
  <c r="K45" i="1" s="1"/>
  <c r="K69" i="1" l="1"/>
  <c r="K70" i="1" l="1"/>
  <c r="K72" i="1" s="1"/>
  <c r="K77" i="1" s="1"/>
  <c r="K78" i="1" s="1"/>
  <c r="K79" i="1" s="1"/>
  <c r="J82" i="1" l="1"/>
  <c r="J84" i="1" s="1"/>
  <c r="K87" i="1" s="1"/>
  <c r="K88" i="1" s="1"/>
  <c r="K12" i="1" s="1"/>
  <c r="K80" i="1" l="1"/>
  <c r="K51" i="1" s="1"/>
  <c r="K50" i="1"/>
  <c r="K13" i="1"/>
  <c r="K35" i="1"/>
  <c r="K39" i="1" s="1"/>
  <c r="L11" i="1"/>
  <c r="K36" i="1" l="1"/>
  <c r="L33" i="1" s="1"/>
  <c r="K44" i="1"/>
  <c r="K100" i="1" s="1"/>
  <c r="K81" i="1"/>
  <c r="L76" i="1" s="1"/>
  <c r="K53" i="1"/>
  <c r="L48" i="1" s="1"/>
  <c r="K56" i="1"/>
  <c r="K16" i="1" s="1"/>
  <c r="K17" i="1" s="1"/>
  <c r="L15" i="1" s="1"/>
  <c r="K40" i="1"/>
  <c r="K27" i="1" l="1"/>
  <c r="K90" i="1" s="1"/>
  <c r="K101" i="1"/>
  <c r="L43" i="1"/>
  <c r="K46" i="1"/>
  <c r="L29" i="1"/>
  <c r="L26" i="1"/>
  <c r="L38" i="1"/>
  <c r="L61" i="1"/>
  <c r="K54" i="1" l="1"/>
  <c r="L52" i="1" s="1"/>
  <c r="L62" i="1" s="1"/>
  <c r="K91" i="1"/>
  <c r="K92" i="1" s="1"/>
  <c r="K93" i="1" s="1"/>
  <c r="K55" i="1"/>
  <c r="L60" i="1"/>
  <c r="L42" i="1"/>
  <c r="L49" i="1"/>
  <c r="L63" i="1" l="1"/>
  <c r="K94" i="1"/>
  <c r="K95" i="1" s="1"/>
  <c r="L65" i="1"/>
  <c r="L66" i="1" l="1"/>
  <c r="L45" i="1" s="1"/>
  <c r="L69" i="1" l="1"/>
  <c r="L70" i="1" l="1"/>
  <c r="L72" i="1" s="1"/>
  <c r="L77" i="1" s="1"/>
  <c r="L78" i="1" s="1"/>
  <c r="L79" i="1" l="1"/>
  <c r="K82" i="1" s="1"/>
  <c r="K84" i="1" s="1"/>
  <c r="L87" i="1" l="1"/>
  <c r="L88" i="1" s="1"/>
  <c r="L12" i="1" s="1"/>
  <c r="L80" i="1" l="1"/>
  <c r="L35" i="1"/>
  <c r="L39" i="1" s="1"/>
  <c r="L13" i="1"/>
  <c r="M11" i="1" s="1"/>
  <c r="L50" i="1"/>
  <c r="L56" i="1"/>
  <c r="L16" i="1" s="1"/>
  <c r="L17" i="1" s="1"/>
  <c r="L81" i="1" l="1"/>
  <c r="M76" i="1" s="1"/>
  <c r="L101" i="1"/>
  <c r="L51" i="1"/>
  <c r="L53" i="1" s="1"/>
  <c r="L44" i="1"/>
  <c r="L36" i="1"/>
  <c r="M33" i="1" s="1"/>
  <c r="L27" i="1"/>
  <c r="M15" i="1"/>
  <c r="L40" i="1"/>
  <c r="L90" i="1" l="1"/>
  <c r="M48" i="1"/>
  <c r="M61" i="1" s="1"/>
  <c r="L100" i="1"/>
  <c r="L55" i="1"/>
  <c r="M38" i="1"/>
  <c r="M26" i="1"/>
  <c r="M29" i="1"/>
  <c r="M43" i="1"/>
  <c r="L46" i="1"/>
  <c r="L91" i="1" s="1"/>
  <c r="L54" i="1"/>
  <c r="M52" i="1" l="1"/>
  <c r="M62" i="1" s="1"/>
  <c r="L92" i="1"/>
  <c r="L93" i="1" s="1"/>
  <c r="L94" i="1"/>
  <c r="L95" i="1" s="1"/>
  <c r="M60" i="1"/>
  <c r="M42" i="1"/>
  <c r="M49" i="1"/>
  <c r="M63" i="1" l="1"/>
  <c r="M65" i="1"/>
  <c r="M66" i="1" s="1"/>
  <c r="M45" i="1" s="1"/>
  <c r="M69" i="1" l="1"/>
  <c r="M70" i="1" l="1"/>
  <c r="M72" i="1" s="1"/>
  <c r="M77" i="1" s="1"/>
  <c r="M78" i="1" s="1"/>
  <c r="M79" i="1" s="1"/>
  <c r="L82" i="1" l="1"/>
  <c r="L84" i="1" s="1"/>
  <c r="M87" i="1" l="1"/>
  <c r="M88" i="1" s="1"/>
  <c r="M12" i="1" s="1"/>
  <c r="M80" i="1" l="1"/>
  <c r="M13" i="1"/>
  <c r="N11" i="1" s="1"/>
  <c r="M35" i="1"/>
  <c r="M39" i="1" s="1"/>
  <c r="M50" i="1"/>
  <c r="M56" i="1" s="1"/>
  <c r="M16" i="1" s="1"/>
  <c r="M17" i="1" s="1"/>
  <c r="M36" i="1"/>
  <c r="N33" i="1" s="1"/>
  <c r="M81" i="1" l="1"/>
  <c r="N76" i="1" s="1"/>
  <c r="M44" i="1"/>
  <c r="M51" i="1"/>
  <c r="M53" i="1" s="1"/>
  <c r="M27" i="1"/>
  <c r="N15" i="1"/>
  <c r="M40" i="1"/>
  <c r="M101" i="1" l="1"/>
  <c r="M90" i="1"/>
  <c r="M100" i="1"/>
  <c r="N48" i="1"/>
  <c r="N61" i="1" s="1"/>
  <c r="M55" i="1"/>
  <c r="N43" i="1"/>
  <c r="M46" i="1"/>
  <c r="M91" i="1" s="1"/>
  <c r="N29" i="1"/>
  <c r="N26" i="1"/>
  <c r="N38" i="1"/>
  <c r="M54" i="1"/>
  <c r="N52" i="1" l="1"/>
  <c r="N62" i="1" s="1"/>
  <c r="M92" i="1"/>
  <c r="M93" i="1" s="1"/>
  <c r="M94" i="1"/>
  <c r="M95" i="1" s="1"/>
  <c r="N60" i="1"/>
  <c r="N42" i="1"/>
  <c r="N49" i="1"/>
  <c r="N63" i="1" l="1"/>
  <c r="N65" i="1"/>
  <c r="N66" i="1" s="1"/>
  <c r="N45" i="1" s="1"/>
  <c r="N69" i="1" l="1"/>
  <c r="N70" i="1" l="1"/>
  <c r="N72" i="1" s="1"/>
  <c r="N77" i="1" s="1"/>
  <c r="N78" i="1" s="1"/>
  <c r="N79" i="1" l="1"/>
  <c r="M82" i="1" s="1"/>
  <c r="M84" i="1" s="1"/>
  <c r="N87" i="1" l="1"/>
  <c r="N88" i="1" s="1"/>
  <c r="N12" i="1" s="1"/>
  <c r="N80" i="1" l="1"/>
  <c r="N81" i="1" s="1"/>
  <c r="O76" i="1" s="1"/>
  <c r="N35" i="1"/>
  <c r="N13" i="1"/>
  <c r="N50" i="1"/>
  <c r="O11" i="1"/>
  <c r="N56" i="1"/>
  <c r="N16" i="1" s="1"/>
  <c r="N17" i="1" s="1"/>
  <c r="N44" i="1" l="1"/>
  <c r="N39" i="1"/>
  <c r="N40" i="1" s="1"/>
  <c r="N36" i="1"/>
  <c r="O33" i="1" s="1"/>
  <c r="N51" i="1"/>
  <c r="N53" i="1" s="1"/>
  <c r="N101" i="1"/>
  <c r="O48" i="1"/>
  <c r="O15" i="1"/>
  <c r="N27" i="1"/>
  <c r="N100" i="1" l="1"/>
  <c r="N55" i="1"/>
  <c r="N90" i="1"/>
  <c r="O26" i="1"/>
  <c r="O29" i="1"/>
  <c r="O43" i="1"/>
  <c r="N46" i="1"/>
  <c r="N91" i="1" s="1"/>
  <c r="N54" i="1"/>
  <c r="O52" i="1" s="1"/>
  <c r="O62" i="1" s="1"/>
  <c r="O38" i="1"/>
  <c r="O61" i="1"/>
  <c r="N92" i="1" l="1"/>
  <c r="N93" i="1" s="1"/>
  <c r="N94" i="1"/>
  <c r="N95" i="1" s="1"/>
  <c r="O60" i="1"/>
  <c r="O63" i="1" s="1"/>
  <c r="O42" i="1"/>
  <c r="O49" i="1"/>
  <c r="O65" i="1" l="1"/>
  <c r="O66" i="1" l="1"/>
  <c r="O45" i="1" s="1"/>
  <c r="O69" i="1" l="1"/>
  <c r="O70" i="1" l="1"/>
  <c r="O72" i="1" s="1"/>
  <c r="O77" i="1" s="1"/>
  <c r="O78" i="1" s="1"/>
  <c r="O79" i="1" l="1"/>
  <c r="N82" i="1" s="1"/>
  <c r="N84" i="1" s="1"/>
  <c r="O87" i="1" l="1"/>
  <c r="O88" i="1" s="1"/>
  <c r="O12" i="1" s="1"/>
  <c r="O80" i="1" l="1"/>
  <c r="O35" i="1"/>
  <c r="O39" i="1" s="1"/>
  <c r="O13" i="1"/>
  <c r="P11" i="1" s="1"/>
  <c r="O50" i="1"/>
  <c r="O56" i="1" s="1"/>
  <c r="O16" i="1" s="1"/>
  <c r="O17" i="1" s="1"/>
  <c r="O36" i="1" l="1"/>
  <c r="P33" i="1" s="1"/>
  <c r="O81" i="1"/>
  <c r="P76" i="1" s="1"/>
  <c r="O44" i="1"/>
  <c r="O51" i="1"/>
  <c r="O53" i="1" s="1"/>
  <c r="O27" i="1"/>
  <c r="P15" i="1"/>
  <c r="O40" i="1"/>
  <c r="O101" i="1" l="1"/>
  <c r="O90" i="1"/>
  <c r="O100" i="1"/>
  <c r="P48" i="1"/>
  <c r="P61" i="1" s="1"/>
  <c r="O55" i="1"/>
  <c r="P26" i="1"/>
  <c r="P29" i="1"/>
  <c r="P38" i="1"/>
  <c r="P43" i="1"/>
  <c r="O46" i="1"/>
  <c r="O91" i="1" s="1"/>
  <c r="O54" i="1"/>
  <c r="P52" i="1" s="1"/>
  <c r="P62" i="1" s="1"/>
  <c r="O92" i="1" l="1"/>
  <c r="O93" i="1" s="1"/>
  <c r="O94" i="1"/>
  <c r="O95" i="1" s="1"/>
  <c r="P60" i="1"/>
  <c r="P63" i="1" s="1"/>
  <c r="P42" i="1"/>
  <c r="P49" i="1"/>
  <c r="P65" i="1" l="1"/>
  <c r="P66" i="1" l="1"/>
  <c r="P45" i="1" l="1"/>
  <c r="P69" i="1"/>
  <c r="P70" i="1" l="1"/>
  <c r="P72" i="1" s="1"/>
  <c r="P77" i="1" s="1"/>
  <c r="P78" i="1" s="1"/>
  <c r="P79" i="1" l="1"/>
  <c r="O82" i="1" s="1"/>
  <c r="O84" i="1" s="1"/>
  <c r="P87" i="1" l="1"/>
  <c r="P88" i="1" s="1"/>
  <c r="P12" i="1" s="1"/>
  <c r="P80" i="1" l="1"/>
  <c r="P35" i="1"/>
  <c r="P39" i="1" s="1"/>
  <c r="P13" i="1"/>
  <c r="Q11" i="1" s="1"/>
  <c r="P50" i="1"/>
  <c r="P81" i="1" l="1"/>
  <c r="Q76" i="1" s="1"/>
  <c r="P51" i="1"/>
  <c r="P53" i="1" s="1"/>
  <c r="P44" i="1"/>
  <c r="P56" i="1"/>
  <c r="P16" i="1" s="1"/>
  <c r="P17" i="1" s="1"/>
  <c r="P27" i="1" s="1"/>
  <c r="P90" i="1" s="1"/>
  <c r="P36" i="1"/>
  <c r="Q33" i="1" s="1"/>
  <c r="P40" i="1"/>
  <c r="P101" i="1" l="1"/>
  <c r="Q15" i="1"/>
  <c r="Q26" i="1" s="1"/>
  <c r="P100" i="1"/>
  <c r="Q48" i="1"/>
  <c r="P55" i="1"/>
  <c r="P54" i="1"/>
  <c r="Q38" i="1"/>
  <c r="Q43" i="1"/>
  <c r="P46" i="1"/>
  <c r="P91" i="1" s="1"/>
  <c r="Q61" i="1"/>
  <c r="P92" i="1" l="1"/>
  <c r="P93" i="1" s="1"/>
  <c r="P94" i="1"/>
  <c r="P95" i="1" s="1"/>
  <c r="Q29" i="1"/>
  <c r="Q60" i="1"/>
  <c r="Q52" i="1"/>
  <c r="Q62" i="1" s="1"/>
  <c r="Q42" i="1"/>
  <c r="Q49" i="1"/>
  <c r="Q63" i="1" l="1"/>
  <c r="Q65" i="1"/>
  <c r="Q66" i="1" l="1"/>
  <c r="Q45" i="1" s="1"/>
  <c r="Q69" i="1" l="1"/>
  <c r="Q70" i="1" l="1"/>
  <c r="Q72" i="1" s="1"/>
  <c r="Q77" i="1" s="1"/>
  <c r="Q78" i="1" s="1"/>
  <c r="Q79" i="1" l="1"/>
  <c r="P82" i="1"/>
  <c r="P84" i="1" s="1"/>
  <c r="Q87" i="1" s="1"/>
  <c r="Q88" i="1" s="1"/>
  <c r="Q12" i="1" s="1"/>
  <c r="Q35" i="1" l="1"/>
  <c r="Q39" i="1" s="1"/>
  <c r="Q80" i="1"/>
  <c r="Q13" i="1"/>
  <c r="Q50" i="1"/>
  <c r="R11" i="1"/>
  <c r="Q56" i="1"/>
  <c r="Q16" i="1" s="1"/>
  <c r="Q17" i="1" s="1"/>
  <c r="Q81" i="1" l="1"/>
  <c r="R76" i="1" s="1"/>
  <c r="Q44" i="1"/>
  <c r="Q36" i="1"/>
  <c r="R33" i="1" s="1"/>
  <c r="Q51" i="1"/>
  <c r="Q53" i="1" s="1"/>
  <c r="R15" i="1"/>
  <c r="Q27" i="1"/>
  <c r="Q40" i="1"/>
  <c r="Q101" i="1" l="1"/>
  <c r="Q90" i="1"/>
  <c r="Q100" i="1"/>
  <c r="R48" i="1"/>
  <c r="R61" i="1" s="1"/>
  <c r="Q55" i="1"/>
  <c r="R43" i="1"/>
  <c r="Q46" i="1"/>
  <c r="Q91" i="1" s="1"/>
  <c r="R38" i="1"/>
  <c r="R26" i="1"/>
  <c r="R29" i="1"/>
  <c r="Q54" i="1"/>
  <c r="R52" i="1" l="1"/>
  <c r="R62" i="1" s="1"/>
  <c r="Q92" i="1"/>
  <c r="Q93" i="1" s="1"/>
  <c r="Q94" i="1"/>
  <c r="Q95" i="1" s="1"/>
  <c r="R60" i="1"/>
  <c r="R42" i="1"/>
  <c r="R49" i="1"/>
  <c r="R63" i="1" l="1"/>
  <c r="R65" i="1"/>
  <c r="R66" i="1" s="1"/>
  <c r="R45" i="1" s="1"/>
  <c r="R69" i="1" l="1"/>
  <c r="R70" i="1" l="1"/>
  <c r="R72" i="1" s="1"/>
  <c r="R77" i="1" s="1"/>
  <c r="R78" i="1" s="1"/>
  <c r="R79" i="1" l="1"/>
  <c r="Q82" i="1" s="1"/>
  <c r="Q84" i="1" s="1"/>
  <c r="R87" i="1" l="1"/>
  <c r="R88" i="1" s="1"/>
  <c r="R12" i="1" s="1"/>
  <c r="R50" i="1" l="1"/>
  <c r="R80" i="1"/>
  <c r="R13" i="1"/>
  <c r="R35" i="1"/>
  <c r="R39" i="1" s="1"/>
  <c r="S11" i="1"/>
  <c r="R36" i="1" l="1"/>
  <c r="S33" i="1" s="1"/>
  <c r="R44" i="1"/>
  <c r="R81" i="1"/>
  <c r="S76" i="1" s="1"/>
  <c r="R56" i="1"/>
  <c r="R16" i="1" s="1"/>
  <c r="R17" i="1" s="1"/>
  <c r="S15" i="1" s="1"/>
  <c r="R51" i="1"/>
  <c r="R53" i="1" s="1"/>
  <c r="R40" i="1"/>
  <c r="R27" i="1" l="1"/>
  <c r="R90" i="1" s="1"/>
  <c r="R101" i="1"/>
  <c r="R100" i="1"/>
  <c r="S48" i="1"/>
  <c r="S61" i="1" s="1"/>
  <c r="S43" i="1"/>
  <c r="R46" i="1"/>
  <c r="S38" i="1"/>
  <c r="S26" i="1"/>
  <c r="S29" i="1"/>
  <c r="R54" i="1" l="1"/>
  <c r="S52" i="1" s="1"/>
  <c r="S62" i="1" s="1"/>
  <c r="R91" i="1"/>
  <c r="R92" i="1" s="1"/>
  <c r="R93" i="1" s="1"/>
  <c r="R55" i="1"/>
  <c r="S60" i="1"/>
  <c r="S42" i="1"/>
  <c r="S49" i="1"/>
  <c r="R94" i="1" l="1"/>
  <c r="R95" i="1" s="1"/>
  <c r="S63" i="1"/>
  <c r="S65" i="1"/>
  <c r="S66" i="1" l="1"/>
  <c r="S69" i="1" s="1"/>
  <c r="S45" i="1"/>
  <c r="S70" i="1" l="1"/>
  <c r="S72" i="1" s="1"/>
  <c r="S77" i="1" s="1"/>
  <c r="S78" i="1" s="1"/>
  <c r="S79" i="1" l="1"/>
  <c r="R82" i="1" s="1"/>
  <c r="R84" i="1" s="1"/>
  <c r="S87" i="1" l="1"/>
  <c r="S88" i="1" s="1"/>
  <c r="S12" i="1" s="1"/>
  <c r="S80" i="1" l="1"/>
  <c r="S51" i="1" s="1"/>
  <c r="S13" i="1"/>
  <c r="S35" i="1"/>
  <c r="S39" i="1" s="1"/>
  <c r="S50" i="1"/>
  <c r="S56" i="1" s="1"/>
  <c r="S16" i="1" s="1"/>
  <c r="S17" i="1" s="1"/>
  <c r="S81" i="1" l="1"/>
  <c r="T76" i="1" s="1"/>
  <c r="S36" i="1"/>
  <c r="T33" i="1" s="1"/>
  <c r="S44" i="1"/>
  <c r="T11" i="1"/>
  <c r="S53" i="1"/>
  <c r="S27" i="1"/>
  <c r="T15" i="1"/>
  <c r="S40" i="1"/>
  <c r="S101" i="1" l="1"/>
  <c r="S55" i="1"/>
  <c r="S90" i="1"/>
  <c r="S100" i="1"/>
  <c r="S46" i="1"/>
  <c r="T42" i="1" s="1"/>
  <c r="T43" i="1"/>
  <c r="T49" i="1" s="1"/>
  <c r="T48" i="1"/>
  <c r="T61" i="1" s="1"/>
  <c r="S54" i="1"/>
  <c r="T52" i="1" s="1"/>
  <c r="T62" i="1" s="1"/>
  <c r="T38" i="1"/>
  <c r="T26" i="1"/>
  <c r="T29" i="1"/>
  <c r="T60" i="1" l="1"/>
  <c r="T63" i="1" s="1"/>
  <c r="S91" i="1"/>
  <c r="T65" i="1"/>
  <c r="S92" i="1" l="1"/>
  <c r="S93" i="1" s="1"/>
  <c r="S94" i="1"/>
  <c r="S95" i="1" s="1"/>
  <c r="T66" i="1"/>
  <c r="T45" i="1" s="1"/>
  <c r="T69" i="1" l="1"/>
  <c r="T70" i="1" l="1"/>
  <c r="T72" i="1" s="1"/>
  <c r="T77" i="1" s="1"/>
  <c r="T78" i="1" s="1"/>
  <c r="T79" i="1" s="1"/>
  <c r="S82" i="1" l="1"/>
  <c r="S84" i="1" s="1"/>
  <c r="T87" i="1" l="1"/>
  <c r="T88" i="1" s="1"/>
  <c r="T12" i="1" s="1"/>
  <c r="T50" i="1" s="1"/>
  <c r="T80" i="1" l="1"/>
  <c r="T13" i="1"/>
  <c r="U11" i="1" s="1"/>
  <c r="T35" i="1"/>
  <c r="T44" i="1" s="1"/>
  <c r="T56" i="1"/>
  <c r="T16" i="1" s="1"/>
  <c r="T17" i="1" s="1"/>
  <c r="T36" i="1" l="1"/>
  <c r="U33" i="1" s="1"/>
  <c r="T39" i="1"/>
  <c r="T40" i="1" s="1"/>
  <c r="T81" i="1"/>
  <c r="U76" i="1" s="1"/>
  <c r="T51" i="1"/>
  <c r="T53" i="1" s="1"/>
  <c r="U48" i="1" s="1"/>
  <c r="T27" i="1"/>
  <c r="U15" i="1"/>
  <c r="T101" i="1" l="1"/>
  <c r="T100" i="1"/>
  <c r="T90" i="1"/>
  <c r="T55" i="1"/>
  <c r="U43" i="1"/>
  <c r="T46" i="1"/>
  <c r="T91" i="1" s="1"/>
  <c r="U26" i="1"/>
  <c r="U29" i="1"/>
  <c r="U38" i="1"/>
  <c r="T54" i="1"/>
  <c r="U52" i="1" s="1"/>
  <c r="U62" i="1" s="1"/>
  <c r="U61" i="1"/>
  <c r="T92" i="1" l="1"/>
  <c r="T93" i="1" s="1"/>
  <c r="T94" i="1"/>
  <c r="T95" i="1" s="1"/>
  <c r="U60" i="1"/>
  <c r="U63" i="1" s="1"/>
  <c r="U42" i="1"/>
  <c r="U49" i="1"/>
  <c r="U65" i="1" l="1"/>
  <c r="U66" i="1" s="1"/>
  <c r="U45" i="1" s="1"/>
  <c r="U69" i="1" l="1"/>
  <c r="U70" i="1" l="1"/>
  <c r="U72" i="1" s="1"/>
  <c r="U77" i="1" s="1"/>
  <c r="U78" i="1" s="1"/>
  <c r="U79" i="1" l="1"/>
  <c r="T82" i="1" s="1"/>
  <c r="T84" i="1" s="1"/>
  <c r="U87" i="1" l="1"/>
  <c r="U88" i="1" s="1"/>
  <c r="U12" i="1" s="1"/>
  <c r="U80" i="1" l="1"/>
  <c r="U51" i="1" s="1"/>
  <c r="U50" i="1"/>
  <c r="U35" i="1"/>
  <c r="U13" i="1"/>
  <c r="U44" i="1" l="1"/>
  <c r="U53" i="1"/>
  <c r="U81" i="1"/>
  <c r="V76" i="1" s="1"/>
  <c r="V11" i="1"/>
  <c r="U39" i="1"/>
  <c r="U100" i="1" s="1"/>
  <c r="U36" i="1"/>
  <c r="V33" i="1" s="1"/>
  <c r="U56" i="1"/>
  <c r="U101" i="1" l="1"/>
  <c r="V48" i="1"/>
  <c r="U16" i="1"/>
  <c r="U17" i="1" s="1"/>
  <c r="U40" i="1"/>
  <c r="V61" i="1" l="1"/>
  <c r="V38" i="1"/>
  <c r="V43" i="1"/>
  <c r="V49" i="1" s="1"/>
  <c r="U46" i="1"/>
  <c r="U27" i="1"/>
  <c r="V15" i="1"/>
  <c r="U90" i="1" l="1"/>
  <c r="U91" i="1"/>
  <c r="V29" i="1"/>
  <c r="V26" i="1"/>
  <c r="U55" i="1"/>
  <c r="U54" i="1"/>
  <c r="V52" i="1" s="1"/>
  <c r="V62" i="1" s="1"/>
  <c r="V42" i="1"/>
  <c r="V65" i="1" s="1"/>
  <c r="U92" i="1" l="1"/>
  <c r="U93" i="1" s="1"/>
  <c r="U94" i="1"/>
  <c r="U95" i="1" s="1"/>
  <c r="V60" i="1"/>
  <c r="V63" i="1" s="1"/>
  <c r="V66" i="1" l="1"/>
  <c r="V45" i="1" s="1"/>
  <c r="V69" i="1" l="1"/>
  <c r="V70" i="1" l="1"/>
  <c r="V72" i="1" s="1"/>
  <c r="V77" i="1" s="1"/>
  <c r="V78" i="1" s="1"/>
  <c r="V79" i="1" s="1"/>
  <c r="U82" i="1" l="1"/>
  <c r="U84" i="1" s="1"/>
  <c r="V87" i="1" l="1"/>
  <c r="V88" i="1" s="1"/>
  <c r="V12" i="1" s="1"/>
  <c r="V80" i="1" l="1"/>
  <c r="V51" i="1" s="1"/>
  <c r="V13" i="1"/>
  <c r="V50" i="1"/>
  <c r="V35" i="1"/>
  <c r="V44" i="1" s="1"/>
  <c r="V81" i="1" l="1"/>
  <c r="W76" i="1" s="1"/>
  <c r="V53" i="1"/>
  <c r="V36" i="1"/>
  <c r="W33" i="1" s="1"/>
  <c r="V39" i="1"/>
  <c r="V100" i="1" s="1"/>
  <c r="V56" i="1"/>
  <c r="W11" i="1"/>
  <c r="V101" i="1" l="1"/>
  <c r="W48" i="1"/>
  <c r="V16" i="1"/>
  <c r="V17" i="1" s="1"/>
  <c r="V40" i="1"/>
  <c r="W61" i="1" l="1"/>
  <c r="W43" i="1"/>
  <c r="W49" i="1" s="1"/>
  <c r="V46" i="1"/>
  <c r="W38" i="1"/>
  <c r="W15" i="1"/>
  <c r="V27" i="1"/>
  <c r="V91" i="1" l="1"/>
  <c r="V90" i="1"/>
  <c r="V55" i="1"/>
  <c r="V54" i="1"/>
  <c r="W52" i="1" s="1"/>
  <c r="W62" i="1" s="1"/>
  <c r="W26" i="1"/>
  <c r="W29" i="1"/>
  <c r="W42" i="1"/>
  <c r="W65" i="1" s="1"/>
  <c r="V92" i="1" l="1"/>
  <c r="V93" i="1" s="1"/>
  <c r="V94" i="1"/>
  <c r="V95" i="1" s="1"/>
  <c r="W60" i="1"/>
  <c r="W63" i="1" s="1"/>
  <c r="W66" i="1" s="1"/>
  <c r="W45" i="1" s="1"/>
  <c r="W69" i="1" l="1"/>
  <c r="W70" i="1" l="1"/>
  <c r="W72" i="1" s="1"/>
  <c r="W77" i="1" s="1"/>
  <c r="W78" i="1" s="1"/>
  <c r="W79" i="1" s="1"/>
  <c r="V82" i="1" s="1"/>
  <c r="V84" i="1" s="1"/>
  <c r="W87" i="1" l="1"/>
  <c r="W88" i="1" s="1"/>
  <c r="W12" i="1" s="1"/>
  <c r="W80" i="1" l="1"/>
  <c r="W51" i="1" s="1"/>
  <c r="W35" i="1"/>
  <c r="W13" i="1"/>
  <c r="W50" i="1"/>
  <c r="W81" i="1" l="1"/>
  <c r="X76" i="1" s="1"/>
  <c r="W44" i="1"/>
  <c r="W53" i="1"/>
  <c r="W56" i="1"/>
  <c r="W16" i="1" s="1"/>
  <c r="W17" i="1" s="1"/>
  <c r="X11" i="1"/>
  <c r="W39" i="1"/>
  <c r="W36" i="1"/>
  <c r="X33" i="1" s="1"/>
  <c r="W101" i="1" l="1"/>
  <c r="W100" i="1"/>
  <c r="X43" i="1"/>
  <c r="X49" i="1" s="1"/>
  <c r="W46" i="1"/>
  <c r="W40" i="1"/>
  <c r="W27" i="1"/>
  <c r="X15" i="1"/>
  <c r="X48" i="1"/>
  <c r="W55" i="1" l="1"/>
  <c r="W91" i="1"/>
  <c r="W90" i="1"/>
  <c r="X61" i="1"/>
  <c r="X29" i="1"/>
  <c r="X26" i="1"/>
  <c r="X38" i="1"/>
  <c r="W54" i="1"/>
  <c r="X52" i="1" s="1"/>
  <c r="X62" i="1" s="1"/>
  <c r="X42" i="1"/>
  <c r="X65" i="1" s="1"/>
  <c r="W92" i="1" l="1"/>
  <c r="W93" i="1" s="1"/>
  <c r="W94" i="1"/>
  <c r="W95" i="1" s="1"/>
  <c r="X60" i="1"/>
  <c r="X63" i="1" s="1"/>
  <c r="X66" i="1" s="1"/>
  <c r="X45" i="1" s="1"/>
  <c r="X69" i="1" l="1"/>
  <c r="X70" i="1" l="1"/>
  <c r="X72" i="1" s="1"/>
  <c r="X77" i="1" s="1"/>
  <c r="X78" i="1" s="1"/>
  <c r="X79" i="1" s="1"/>
  <c r="W82" i="1" s="1"/>
  <c r="W84" i="1" s="1"/>
  <c r="X87" i="1" l="1"/>
  <c r="X88" i="1" s="1"/>
  <c r="X12" i="1" s="1"/>
  <c r="X80" i="1" l="1"/>
  <c r="X51" i="1" s="1"/>
  <c r="X13" i="1"/>
  <c r="Y11" i="1" s="1"/>
  <c r="X35" i="1"/>
  <c r="X39" i="1" s="1"/>
  <c r="X50" i="1"/>
  <c r="X81" i="1" l="1"/>
  <c r="Y76" i="1" s="1"/>
  <c r="X44" i="1"/>
  <c r="X36" i="1"/>
  <c r="Y33" i="1" s="1"/>
  <c r="X56" i="1"/>
  <c r="X16" i="1" s="1"/>
  <c r="X17" i="1" s="1"/>
  <c r="X53" i="1"/>
  <c r="Y48" i="1"/>
  <c r="X40" i="1"/>
  <c r="X101" i="1" l="1"/>
  <c r="X100" i="1"/>
  <c r="Y15" i="1"/>
  <c r="Y29" i="1" s="1"/>
  <c r="X27" i="1"/>
  <c r="X54" i="1" s="1"/>
  <c r="Y52" i="1" s="1"/>
  <c r="Y62" i="1" s="1"/>
  <c r="X46" i="1"/>
  <c r="Y42" i="1" s="1"/>
  <c r="Y61" i="1"/>
  <c r="Y38" i="1"/>
  <c r="Y60" i="1" l="1"/>
  <c r="Y63" i="1" s="1"/>
  <c r="X55" i="1"/>
  <c r="X90" i="1"/>
  <c r="X91" i="1"/>
  <c r="Y26" i="1"/>
  <c r="Y43" i="1"/>
  <c r="Y49" i="1" s="1"/>
  <c r="Y65" i="1"/>
  <c r="X92" i="1" l="1"/>
  <c r="X93" i="1" s="1"/>
  <c r="X94" i="1"/>
  <c r="X95" i="1" s="1"/>
  <c r="Y66" i="1"/>
  <c r="Y45" i="1" s="1"/>
  <c r="Y69" i="1" l="1"/>
  <c r="C69" i="1" l="1"/>
  <c r="D18" i="7" s="1"/>
  <c r="Y70" i="1"/>
  <c r="Y72" i="1" s="1"/>
  <c r="Y77" i="1" s="1"/>
  <c r="Y78" i="1" s="1"/>
  <c r="Y79" i="1" s="1"/>
  <c r="X82" i="1" l="1"/>
  <c r="X84" i="1" s="1"/>
  <c r="Y87" i="1" s="1"/>
  <c r="Y88" i="1" s="1"/>
  <c r="Y12" i="1" s="1"/>
  <c r="Y80" i="1" s="1"/>
  <c r="Y81" i="1" l="1"/>
  <c r="Y84" i="1" s="1"/>
  <c r="Y51" i="1"/>
  <c r="Y13" i="1"/>
  <c r="Y35" i="1"/>
  <c r="Y39" i="1" s="1"/>
  <c r="Y50" i="1"/>
  <c r="Y53" i="1" l="1"/>
  <c r="Y101" i="1"/>
  <c r="Y36" i="1"/>
  <c r="Y56" i="1"/>
  <c r="Y16" i="1" s="1"/>
  <c r="Y17" i="1" s="1"/>
  <c r="Y27" i="1" s="1"/>
  <c r="Y44" i="1"/>
  <c r="Y40" i="1"/>
  <c r="Y100" i="1" l="1"/>
  <c r="Y55" i="1"/>
  <c r="Y90" i="1"/>
  <c r="Y46" i="1"/>
  <c r="Y91" i="1" s="1"/>
  <c r="Y54" i="1"/>
  <c r="Y92" i="1" l="1"/>
  <c r="Y93" i="1" s="1"/>
  <c r="D16" i="7" s="1"/>
  <c r="Y94" i="1"/>
  <c r="Y95" i="1" s="1"/>
  <c r="D1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</author>
  </authors>
  <commentList>
    <comment ref="D21" authorId="0" shapeId="0" xr:uid="{2EC7EAB3-1427-4834-A24D-8547B136A006}">
      <text>
        <r>
          <rPr>
            <b/>
            <sz val="9"/>
            <color indexed="81"/>
            <rFont val="Tahoma"/>
            <family val="2"/>
          </rPr>
          <t>Sean:</t>
        </r>
        <r>
          <rPr>
            <sz val="9"/>
            <color indexed="81"/>
            <rFont val="Tahoma"/>
            <family val="2"/>
          </rPr>
          <t xml:space="preserve">
On affordable</t>
        </r>
      </text>
    </comment>
  </commentList>
</comments>
</file>

<file path=xl/sharedStrings.xml><?xml version="1.0" encoding="utf-8"?>
<sst xmlns="http://schemas.openxmlformats.org/spreadsheetml/2006/main" count="155" uniqueCount="142">
  <si>
    <t>Start Date:</t>
  </si>
  <si>
    <t>Inflation Rate:</t>
  </si>
  <si>
    <t>Portfolio Assumptions</t>
  </si>
  <si>
    <t>Property Acquisitions</t>
  </si>
  <si>
    <t>Opex/Unit/Month</t>
  </si>
  <si>
    <t>RE Tax/Unit/Month</t>
  </si>
  <si>
    <t>RE Tax Abatement</t>
  </si>
  <si>
    <t>Forward Purchase (Unlevered)</t>
  </si>
  <si>
    <t>Transaction Costs - Purchase</t>
  </si>
  <si>
    <t>Assumptions</t>
  </si>
  <si>
    <t>Deal Assumptions</t>
  </si>
  <si>
    <t>Capitalization Assumptions</t>
  </si>
  <si>
    <t>Coupon:</t>
  </si>
  <si>
    <t>Interest Rate</t>
  </si>
  <si>
    <t>Date</t>
  </si>
  <si>
    <t>Year</t>
  </si>
  <si>
    <t>RE Investment</t>
  </si>
  <si>
    <t>Amount Invested - BOP</t>
  </si>
  <si>
    <t>Invested in Pd</t>
  </si>
  <si>
    <t>Amount Invested - EOP</t>
  </si>
  <si>
    <t>Units Owned - BOP</t>
  </si>
  <si>
    <t>Units Added</t>
  </si>
  <si>
    <t>Units Owned - EOP</t>
  </si>
  <si>
    <t>Assets</t>
  </si>
  <si>
    <t>Preferred Balance - BOP</t>
  </si>
  <si>
    <t>Preferred Balance - EOP</t>
  </si>
  <si>
    <t>Capital</t>
  </si>
  <si>
    <t>Remaining Capacity</t>
  </si>
  <si>
    <t>Equity Invested in Pd</t>
  </si>
  <si>
    <t>Preferred Invested in Pd</t>
  </si>
  <si>
    <t>Senior Balance - BOP</t>
  </si>
  <si>
    <t>Senior Balance - EOP</t>
  </si>
  <si>
    <t>Initial Raise:</t>
  </si>
  <si>
    <t>RE Value - BOP</t>
  </si>
  <si>
    <t>Inflation Factor</t>
  </si>
  <si>
    <t>Investment Capacity - BOP</t>
  </si>
  <si>
    <t>Valuation Cap Rate</t>
  </si>
  <si>
    <t>RE Value - EOP</t>
  </si>
  <si>
    <t>Other Assumptions</t>
  </si>
  <si>
    <t>G&amp;A (Annual)</t>
  </si>
  <si>
    <t>Senior LTV (EOP)</t>
  </si>
  <si>
    <t>Outputs:</t>
  </si>
  <si>
    <t>Year #</t>
  </si>
  <si>
    <t>We The People CIV</t>
  </si>
  <si>
    <t>Percent of SF Commercial</t>
  </si>
  <si>
    <t xml:space="preserve">Commercial Rent/Unit/Month </t>
  </si>
  <si>
    <t>Resi Rent/Unit/Month</t>
  </si>
  <si>
    <t>Rent/Unit (blended)</t>
  </si>
  <si>
    <t xml:space="preserve">Commercial Vacancy </t>
  </si>
  <si>
    <t xml:space="preserve">Resi Vacancy </t>
  </si>
  <si>
    <t>Blended Vacancy</t>
  </si>
  <si>
    <t>U/W NOI/Unit/Year</t>
  </si>
  <si>
    <t>Units/Property</t>
  </si>
  <si>
    <t>Property Annual NOI</t>
  </si>
  <si>
    <t>Purchase Cap Rate</t>
  </si>
  <si>
    <t>Value/Property</t>
  </si>
  <si>
    <t>PRI Financing</t>
  </si>
  <si>
    <t>Acquisition LTC:</t>
  </si>
  <si>
    <t>Annual Amortization</t>
  </si>
  <si>
    <t>Target LTV:</t>
  </si>
  <si>
    <t>If LTV over target; otherwise assume re-lever</t>
  </si>
  <si>
    <t>Community Common Equity</t>
  </si>
  <si>
    <t>Debt Financing</t>
  </si>
  <si>
    <t>Fees &amp; Costs</t>
  </si>
  <si>
    <t>Number of Investors</t>
  </si>
  <si>
    <t>Investor Type</t>
  </si>
  <si>
    <t>Amt/Year</t>
  </si>
  <si>
    <t>Pct of Total</t>
  </si>
  <si>
    <t>Invested/Year</t>
  </si>
  <si>
    <t>Type A</t>
  </si>
  <si>
    <t>Type A match</t>
  </si>
  <si>
    <t>Type B</t>
  </si>
  <si>
    <t>Total/Average</t>
  </si>
  <si>
    <t>Years of capital raise</t>
  </si>
  <si>
    <t>Target annual dividend</t>
  </si>
  <si>
    <t>Equity Raised in Pd</t>
  </si>
  <si>
    <t>Equity Raise Acct - BOP</t>
  </si>
  <si>
    <t>Equity Raise Acct - EOP</t>
  </si>
  <si>
    <t>Invested Equity Balance - BOP</t>
  </si>
  <si>
    <t>Invested Equity Balance - EOP</t>
  </si>
  <si>
    <t>New Senior Capacity</t>
  </si>
  <si>
    <t>Pct of Capital after Debt:</t>
  </si>
  <si>
    <t>Senior Amortization</t>
  </si>
  <si>
    <t>Senior Drawn in Pd - Acquisitions</t>
  </si>
  <si>
    <t>Portfolio NOI</t>
  </si>
  <si>
    <t>Cash Flow</t>
  </si>
  <si>
    <t>Senior Interest</t>
  </si>
  <si>
    <t>Senior Fees &amp; Costs</t>
  </si>
  <si>
    <t>Cash Flow After Senior</t>
  </si>
  <si>
    <t>Refinance Capacity</t>
  </si>
  <si>
    <t>Senior Drawn in Pd - Refinance</t>
  </si>
  <si>
    <t>Preferred Interest Payment</t>
  </si>
  <si>
    <t>Preferred Repayment</t>
  </si>
  <si>
    <t>Pct of Cash Flow for Repayment:</t>
  </si>
  <si>
    <t>Cash Flow To CIV Account</t>
  </si>
  <si>
    <t>CIV Account</t>
  </si>
  <si>
    <t>Balance - BOP</t>
  </si>
  <si>
    <t>Deposits</t>
  </si>
  <si>
    <t>Draws - Dividends</t>
  </si>
  <si>
    <t>Draws - Redemptions</t>
  </si>
  <si>
    <t>Draws - Reinvestment</t>
  </si>
  <si>
    <t>Balance - EOP</t>
  </si>
  <si>
    <t>Less: Target Balance</t>
  </si>
  <si>
    <t>First dividend year</t>
  </si>
  <si>
    <t>First year of general liquidity</t>
  </si>
  <si>
    <t>Average pct of value withdrawn - before general liquidity</t>
  </si>
  <si>
    <t>Average pct of value withdrawn - after general liquidity</t>
  </si>
  <si>
    <t>Capex Reserve/Unit/Year</t>
  </si>
  <si>
    <t>Working Capital Target</t>
  </si>
  <si>
    <t>Average Unit Purchase Price</t>
  </si>
  <si>
    <t>Minimum Acquisition Amount</t>
  </si>
  <si>
    <t>Portfolio G&amp;A</t>
  </si>
  <si>
    <t>Charitable G&amp;A Support</t>
  </si>
  <si>
    <t>Less: Projected Next Year Needs</t>
  </si>
  <si>
    <t>Available for Reinvestment</t>
  </si>
  <si>
    <t>Equity Capacity - EOP</t>
  </si>
  <si>
    <t>Checks:</t>
  </si>
  <si>
    <t>Asset Value - EOP</t>
  </si>
  <si>
    <t>Common Equity Value - EOP</t>
  </si>
  <si>
    <t>Purchase Price/Unit</t>
  </si>
  <si>
    <t>NOI/Unit</t>
  </si>
  <si>
    <t>Revenue/Unit</t>
  </si>
  <si>
    <t>Opex/Unit</t>
  </si>
  <si>
    <t>Value/Unit</t>
  </si>
  <si>
    <t>Pct Ownership (w/match)</t>
  </si>
  <si>
    <t>Pct Invested</t>
  </si>
  <si>
    <t>Multiple - Type A</t>
  </si>
  <si>
    <t>Multiple - Type B</t>
  </si>
  <si>
    <t>Key Metrics Dashboard</t>
  </si>
  <si>
    <t>Years to Equity Value Double - Type B (Higher Amt) Investors</t>
  </si>
  <si>
    <t>Years to Equity Value Double - Type A (Lower Amt) Investors</t>
  </si>
  <si>
    <t>Amount of Charitable Operating Support Required</t>
  </si>
  <si>
    <t>Portfolio Covers Operating Costs in Year</t>
  </si>
  <si>
    <t>Key Assumptions:</t>
  </si>
  <si>
    <t>Total Community Equity Raised</t>
  </si>
  <si>
    <t>Investment PRI Raised</t>
  </si>
  <si>
    <t>Acquisition Senior LTC</t>
  </si>
  <si>
    <t>Target Senior LTV</t>
  </si>
  <si>
    <t>Year 1 Portfolio Operating Costs</t>
  </si>
  <si>
    <t>Inflation Rate (General)</t>
  </si>
  <si>
    <t>Units Owned - Year 20</t>
  </si>
  <si>
    <t>Gross Portfolio Value - Year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</si>
</sst>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_);\(#,##0.000\)"/>
    <numFmt numFmtId="167" formatCode="0\x"/>
    <numFmt numFmtId="168" formatCode="0.0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4" fontId="2" fillId="0" borderId="0" xfId="0" applyNumberFormat="1" applyFont="1"/>
    <xf numFmtId="164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165" fontId="0" fillId="0" borderId="0" xfId="0" applyNumberFormat="1"/>
    <xf numFmtId="0" fontId="4" fillId="0" borderId="0" xfId="0" applyFont="1"/>
    <xf numFmtId="9" fontId="2" fillId="0" borderId="0" xfId="0" applyNumberFormat="1" applyFont="1"/>
    <xf numFmtId="165" fontId="0" fillId="0" borderId="0" xfId="1" applyNumberFormat="1" applyFont="1"/>
    <xf numFmtId="9" fontId="0" fillId="0" borderId="0" xfId="0" applyNumberFormat="1"/>
    <xf numFmtId="43" fontId="0" fillId="0" borderId="0" xfId="0" applyNumberFormat="1"/>
    <xf numFmtId="10" fontId="7" fillId="0" borderId="0" xfId="2" applyNumberFormat="1" applyFont="1"/>
    <xf numFmtId="10" fontId="2" fillId="0" borderId="0" xfId="0" applyNumberFormat="1" applyFont="1"/>
    <xf numFmtId="165" fontId="9" fillId="0" borderId="0" xfId="1" applyNumberFormat="1" applyFont="1"/>
    <xf numFmtId="14" fontId="0" fillId="0" borderId="0" xfId="0" applyNumberFormat="1"/>
    <xf numFmtId="0" fontId="8" fillId="0" borderId="0" xfId="0" applyFont="1"/>
    <xf numFmtId="37" fontId="0" fillId="0" borderId="0" xfId="0" applyNumberFormat="1"/>
    <xf numFmtId="39" fontId="0" fillId="0" borderId="0" xfId="0" applyNumberFormat="1"/>
    <xf numFmtId="164" fontId="0" fillId="0" borderId="0" xfId="2" applyNumberFormat="1" applyFont="1"/>
    <xf numFmtId="37" fontId="8" fillId="0" borderId="0" xfId="0" applyNumberFormat="1" applyFont="1"/>
    <xf numFmtId="166" fontId="0" fillId="0" borderId="0" xfId="0" applyNumberFormat="1"/>
    <xf numFmtId="0" fontId="7" fillId="0" borderId="0" xfId="0" applyFont="1"/>
    <xf numFmtId="37" fontId="7" fillId="0" borderId="0" xfId="0" applyNumberFormat="1" applyFont="1"/>
    <xf numFmtId="7" fontId="9" fillId="0" borderId="0" xfId="3" applyNumberFormat="1" applyFont="1"/>
    <xf numFmtId="9" fontId="9" fillId="0" borderId="0" xfId="0" applyNumberFormat="1" applyFont="1"/>
    <xf numFmtId="0" fontId="1" fillId="0" borderId="0" xfId="4"/>
    <xf numFmtId="165" fontId="2" fillId="0" borderId="0" xfId="5" applyNumberFormat="1" applyFont="1"/>
    <xf numFmtId="0" fontId="1" fillId="0" borderId="0" xfId="4" applyAlignment="1">
      <alignment horizontal="left"/>
    </xf>
    <xf numFmtId="0" fontId="1" fillId="0" borderId="0" xfId="4" applyAlignment="1">
      <alignment wrapText="1"/>
    </xf>
    <xf numFmtId="0" fontId="1" fillId="0" borderId="0" xfId="4" applyAlignment="1">
      <alignment horizontal="left" indent="1"/>
    </xf>
    <xf numFmtId="9" fontId="2" fillId="0" borderId="0" xfId="6" applyFont="1"/>
    <xf numFmtId="165" fontId="1" fillId="0" borderId="0" xfId="4" applyNumberFormat="1"/>
    <xf numFmtId="165" fontId="9" fillId="0" borderId="0" xfId="5" applyNumberFormat="1" applyFont="1"/>
    <xf numFmtId="164" fontId="1" fillId="0" borderId="0" xfId="2" applyNumberFormat="1" applyFont="1"/>
    <xf numFmtId="0" fontId="8" fillId="0" borderId="0" xfId="4" applyFont="1"/>
    <xf numFmtId="165" fontId="8" fillId="0" borderId="0" xfId="4" applyNumberFormat="1" applyFont="1"/>
    <xf numFmtId="165" fontId="10" fillId="0" borderId="0" xfId="5" applyNumberFormat="1" applyFont="1"/>
    <xf numFmtId="167" fontId="2" fillId="0" borderId="0" xfId="5" applyNumberFormat="1" applyFont="1"/>
    <xf numFmtId="164" fontId="2" fillId="0" borderId="0" xfId="6" applyNumberFormat="1" applyFont="1"/>
    <xf numFmtId="168" fontId="0" fillId="0" borderId="0" xfId="0" applyNumberFormat="1"/>
    <xf numFmtId="165" fontId="8" fillId="0" borderId="0" xfId="1" applyNumberFormat="1" applyFont="1" applyAlignment="1">
      <alignment horizontal="right"/>
    </xf>
    <xf numFmtId="10" fontId="0" fillId="0" borderId="0" xfId="0" applyNumberFormat="1"/>
    <xf numFmtId="164" fontId="0" fillId="0" borderId="0" xfId="0" applyNumberFormat="1"/>
  </cellXfs>
  <cellStyles count="7">
    <cellStyle name="Comma" xfId="1" builtinId="3"/>
    <cellStyle name="Comma 3" xfId="5" xr:uid="{72EAE445-A020-4037-BF78-D508E85AF7C0}"/>
    <cellStyle name="Currency" xfId="3" builtinId="4"/>
    <cellStyle name="Normal" xfId="0" builtinId="0"/>
    <cellStyle name="Normal 3" xfId="4" xr:uid="{296FB2B0-B39C-4FDE-8F8A-6A2C9A106CEF}"/>
    <cellStyle name="Percent" xfId="2" builtinId="5"/>
    <cellStyle name="Percent 2" xfId="6" xr:uid="{88488A62-8F60-4764-B798-EFE160A2B13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4629-D33D-49EC-A4A2-854B2C28DE78}">
  <dimension ref="A1:D21"/>
  <sheetViews>
    <sheetView tabSelected="1" workbookViewId="0">
      <selection activeCell="D20" sqref="D20"/>
    </sheetView>
  </sheetViews>
  <sheetFormatPr defaultRowHeight="14.4" x14ac:dyDescent="0.3"/>
  <cols>
    <col min="1" max="1" width="4.109375" customWidth="1"/>
    <col min="3" max="3" width="43.109375" customWidth="1"/>
    <col min="4" max="4" width="13.5546875" customWidth="1"/>
    <col min="5" max="5" width="10.33203125" customWidth="1"/>
  </cols>
  <sheetData>
    <row r="1" spans="1:4" x14ac:dyDescent="0.3">
      <c r="A1" t="s">
        <v>43</v>
      </c>
    </row>
    <row r="2" spans="1:4" x14ac:dyDescent="0.3">
      <c r="A2" t="s">
        <v>128</v>
      </c>
    </row>
    <row r="5" spans="1:4" x14ac:dyDescent="0.3">
      <c r="A5" s="15" t="s">
        <v>133</v>
      </c>
    </row>
    <row r="6" spans="1:4" x14ac:dyDescent="0.3">
      <c r="B6" t="s">
        <v>54</v>
      </c>
      <c r="D6" s="41">
        <f>Assumptions!C28</f>
        <v>8.5000000000000006E-2</v>
      </c>
    </row>
    <row r="7" spans="1:4" x14ac:dyDescent="0.3">
      <c r="B7" t="s">
        <v>36</v>
      </c>
      <c r="D7" s="41">
        <f>Assumptions!C32</f>
        <v>0.09</v>
      </c>
    </row>
    <row r="8" spans="1:4" x14ac:dyDescent="0.3">
      <c r="B8" t="s">
        <v>134</v>
      </c>
      <c r="D8" s="16">
        <f>Assumptions!F42*Assumptions!C45</f>
        <v>800000</v>
      </c>
    </row>
    <row r="9" spans="1:4" x14ac:dyDescent="0.3">
      <c r="B9" t="s">
        <v>135</v>
      </c>
      <c r="D9" s="16">
        <f>Assumptions!C53</f>
        <v>1200000</v>
      </c>
    </row>
    <row r="10" spans="1:4" x14ac:dyDescent="0.3">
      <c r="B10" t="s">
        <v>136</v>
      </c>
      <c r="D10" s="9">
        <f>Assumptions!C59</f>
        <v>0.8</v>
      </c>
    </row>
    <row r="11" spans="1:4" x14ac:dyDescent="0.3">
      <c r="B11" t="s">
        <v>137</v>
      </c>
      <c r="D11" s="9">
        <f>Assumptions!C60</f>
        <v>0.65</v>
      </c>
    </row>
    <row r="12" spans="1:4" x14ac:dyDescent="0.3">
      <c r="B12" t="s">
        <v>138</v>
      </c>
      <c r="D12" s="16">
        <f>Assumptions!C66</f>
        <v>150000</v>
      </c>
    </row>
    <row r="13" spans="1:4" x14ac:dyDescent="0.3">
      <c r="B13" t="s">
        <v>139</v>
      </c>
      <c r="D13" s="42">
        <f>Assumptions!C6</f>
        <v>0.03</v>
      </c>
    </row>
    <row r="15" spans="1:4" x14ac:dyDescent="0.3">
      <c r="A15" s="15" t="s">
        <v>41</v>
      </c>
    </row>
    <row r="16" spans="1:4" x14ac:dyDescent="0.3">
      <c r="B16" t="s">
        <v>130</v>
      </c>
      <c r="D16" s="40">
        <f>SUM(Model!F93:Y93)</f>
        <v>4</v>
      </c>
    </row>
    <row r="17" spans="2:4" x14ac:dyDescent="0.3">
      <c r="B17" t="s">
        <v>129</v>
      </c>
      <c r="D17" s="40">
        <f>SUM(Model!F95:Y95)</f>
        <v>9</v>
      </c>
    </row>
    <row r="18" spans="2:4" x14ac:dyDescent="0.3">
      <c r="B18" t="s">
        <v>131</v>
      </c>
      <c r="D18" s="19">
        <f>Model!C69</f>
        <v>529193.97560660611</v>
      </c>
    </row>
    <row r="19" spans="2:4" x14ac:dyDescent="0.3">
      <c r="B19" t="s">
        <v>132</v>
      </c>
      <c r="D19" s="19">
        <f>SUM(Model!F70:Y70)</f>
        <v>7</v>
      </c>
    </row>
    <row r="20" spans="2:4" x14ac:dyDescent="0.3">
      <c r="B20" t="s">
        <v>140</v>
      </c>
      <c r="D20" s="19">
        <f>Model!Y17</f>
        <v>144.06583685825126</v>
      </c>
    </row>
    <row r="21" spans="2:4" x14ac:dyDescent="0.3">
      <c r="B21" t="s">
        <v>141</v>
      </c>
      <c r="D21" s="19">
        <f>Model!Y27</f>
        <v>27085985.471953213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D35B-C834-4B55-829B-E2BA258A6DC0}">
  <dimension ref="A1:H68"/>
  <sheetViews>
    <sheetView workbookViewId="0">
      <pane ySplit="2" topLeftCell="A3" activePane="bottomLeft" state="frozen"/>
      <selection pane="bottomLeft" activeCell="E22" sqref="E22"/>
    </sheetView>
  </sheetViews>
  <sheetFormatPr defaultRowHeight="14.4" x14ac:dyDescent="0.3"/>
  <cols>
    <col min="2" max="2" width="47.88671875" bestFit="1" customWidth="1"/>
    <col min="3" max="4" width="13.6640625" bestFit="1" customWidth="1"/>
    <col min="5" max="5" width="9.44140625" bestFit="1" customWidth="1"/>
    <col min="6" max="6" width="13.44140625" bestFit="1" customWidth="1"/>
    <col min="7" max="20" width="12" bestFit="1" customWidth="1"/>
  </cols>
  <sheetData>
    <row r="1" spans="1:5" x14ac:dyDescent="0.3">
      <c r="A1" t="s">
        <v>43</v>
      </c>
    </row>
    <row r="2" spans="1:5" x14ac:dyDescent="0.3">
      <c r="A2" t="s">
        <v>9</v>
      </c>
    </row>
    <row r="4" spans="1:5" x14ac:dyDescent="0.3">
      <c r="A4" s="6" t="s">
        <v>2</v>
      </c>
    </row>
    <row r="5" spans="1:5" x14ac:dyDescent="0.3">
      <c r="B5" t="s">
        <v>0</v>
      </c>
      <c r="C5" s="1">
        <v>45657</v>
      </c>
    </row>
    <row r="6" spans="1:5" x14ac:dyDescent="0.3">
      <c r="B6" t="s">
        <v>1</v>
      </c>
      <c r="C6" s="2">
        <v>0.03</v>
      </c>
    </row>
    <row r="8" spans="1:5" x14ac:dyDescent="0.3">
      <c r="A8" s="6" t="s">
        <v>10</v>
      </c>
    </row>
    <row r="9" spans="1:5" x14ac:dyDescent="0.3">
      <c r="B9" s="6" t="s">
        <v>3</v>
      </c>
    </row>
    <row r="10" spans="1:5" x14ac:dyDescent="0.3">
      <c r="B10" t="s">
        <v>44</v>
      </c>
      <c r="D10" s="24">
        <v>0.25</v>
      </c>
    </row>
    <row r="11" spans="1:5" x14ac:dyDescent="0.3">
      <c r="B11" s="4"/>
    </row>
    <row r="12" spans="1:5" x14ac:dyDescent="0.3">
      <c r="B12" t="s">
        <v>45</v>
      </c>
      <c r="D12" s="3">
        <f>20*1500/12</f>
        <v>2500</v>
      </c>
    </row>
    <row r="13" spans="1:5" x14ac:dyDescent="0.3">
      <c r="B13" t="s">
        <v>46</v>
      </c>
      <c r="D13" s="3">
        <v>1000</v>
      </c>
    </row>
    <row r="14" spans="1:5" x14ac:dyDescent="0.3">
      <c r="B14" t="s">
        <v>47</v>
      </c>
      <c r="D14" s="5">
        <f>D10*D12+(1-D10)*D13</f>
        <v>1375</v>
      </c>
      <c r="E14" s="5">
        <f>D14*12</f>
        <v>16500</v>
      </c>
    </row>
    <row r="15" spans="1:5" x14ac:dyDescent="0.3">
      <c r="B15" t="s">
        <v>48</v>
      </c>
      <c r="D15" s="7">
        <v>0.1</v>
      </c>
    </row>
    <row r="16" spans="1:5" x14ac:dyDescent="0.3">
      <c r="B16" t="s">
        <v>49</v>
      </c>
      <c r="D16" s="7">
        <v>0.05</v>
      </c>
    </row>
    <row r="17" spans="2:5" x14ac:dyDescent="0.3">
      <c r="B17" t="s">
        <v>50</v>
      </c>
      <c r="D17" s="9">
        <f>D15*D10+D16*(1-D10)</f>
        <v>6.25E-2</v>
      </c>
    </row>
    <row r="18" spans="2:5" x14ac:dyDescent="0.3">
      <c r="B18" t="s">
        <v>4</v>
      </c>
      <c r="D18" s="3">
        <v>400</v>
      </c>
      <c r="E18" s="5"/>
    </row>
    <row r="19" spans="2:5" x14ac:dyDescent="0.3">
      <c r="B19" t="s">
        <v>107</v>
      </c>
      <c r="D19" s="3">
        <v>250</v>
      </c>
      <c r="E19" s="5"/>
    </row>
    <row r="20" spans="2:5" x14ac:dyDescent="0.3">
      <c r="B20" t="s">
        <v>5</v>
      </c>
      <c r="D20" s="3">
        <v>100</v>
      </c>
    </row>
    <row r="21" spans="2:5" x14ac:dyDescent="0.3">
      <c r="B21" t="s">
        <v>6</v>
      </c>
      <c r="D21" s="7">
        <v>0.5</v>
      </c>
    </row>
    <row r="22" spans="2:5" x14ac:dyDescent="0.3">
      <c r="B22" t="s">
        <v>51</v>
      </c>
      <c r="D22" s="8">
        <f>(D14*12*(1-D17)-(D18+D20*(1-D21*D10))*12)-D19</f>
        <v>9368.75</v>
      </c>
    </row>
    <row r="23" spans="2:5" x14ac:dyDescent="0.3">
      <c r="B23" t="s">
        <v>52</v>
      </c>
      <c r="D23" s="3">
        <v>20</v>
      </c>
    </row>
    <row r="24" spans="2:5" x14ac:dyDescent="0.3">
      <c r="B24" t="s">
        <v>53</v>
      </c>
      <c r="D24" s="13">
        <f>D23*D22</f>
        <v>187375</v>
      </c>
    </row>
    <row r="25" spans="2:5" x14ac:dyDescent="0.3">
      <c r="D25" s="13"/>
    </row>
    <row r="27" spans="2:5" x14ac:dyDescent="0.3">
      <c r="B27" s="4" t="s">
        <v>7</v>
      </c>
    </row>
    <row r="28" spans="2:5" x14ac:dyDescent="0.3">
      <c r="B28" t="s">
        <v>54</v>
      </c>
      <c r="C28" s="12">
        <v>8.5000000000000006E-2</v>
      </c>
    </row>
    <row r="29" spans="2:5" x14ac:dyDescent="0.3">
      <c r="B29" t="s">
        <v>8</v>
      </c>
      <c r="C29" s="2">
        <v>0.02</v>
      </c>
    </row>
    <row r="30" spans="2:5" x14ac:dyDescent="0.3">
      <c r="B30" t="s">
        <v>109</v>
      </c>
      <c r="C30" s="5">
        <f>(D22/C28)*(1+C29)</f>
        <v>112425</v>
      </c>
    </row>
    <row r="31" spans="2:5" x14ac:dyDescent="0.3">
      <c r="C31" s="10"/>
    </row>
    <row r="32" spans="2:5" x14ac:dyDescent="0.3">
      <c r="B32" t="s">
        <v>36</v>
      </c>
      <c r="C32" s="12">
        <v>0.09</v>
      </c>
    </row>
    <row r="34" spans="1:8" x14ac:dyDescent="0.3">
      <c r="A34" s="6" t="s">
        <v>11</v>
      </c>
    </row>
    <row r="36" spans="1:8" x14ac:dyDescent="0.3">
      <c r="B36" s="4" t="s">
        <v>61</v>
      </c>
    </row>
    <row r="37" spans="1:8" x14ac:dyDescent="0.3">
      <c r="B37" s="25" t="s">
        <v>64</v>
      </c>
      <c r="C37" s="26">
        <v>100</v>
      </c>
      <c r="D37" s="25"/>
      <c r="E37" s="25"/>
      <c r="F37" s="25"/>
      <c r="G37" s="25"/>
    </row>
    <row r="38" spans="1:8" ht="43.2" x14ac:dyDescent="0.3">
      <c r="B38" s="27" t="s">
        <v>65</v>
      </c>
      <c r="C38" s="25" t="s">
        <v>66</v>
      </c>
      <c r="D38" s="25" t="s">
        <v>67</v>
      </c>
      <c r="E38" s="28" t="s">
        <v>64</v>
      </c>
      <c r="F38" s="25" t="s">
        <v>68</v>
      </c>
      <c r="G38" s="25" t="s">
        <v>125</v>
      </c>
      <c r="H38" s="25" t="s">
        <v>124</v>
      </c>
    </row>
    <row r="39" spans="1:8" x14ac:dyDescent="0.3">
      <c r="B39" s="29" t="s">
        <v>69</v>
      </c>
      <c r="C39" s="26">
        <v>500</v>
      </c>
      <c r="D39" s="30">
        <v>0.2</v>
      </c>
      <c r="E39" s="31">
        <f>D39*$C$37</f>
        <v>20</v>
      </c>
      <c r="F39" s="32">
        <f>E39*C39</f>
        <v>10000</v>
      </c>
      <c r="G39" s="33">
        <f>F39/$F$42</f>
        <v>6.25E-2</v>
      </c>
      <c r="H39" s="33">
        <f>(F39+F40)/$F$42</f>
        <v>0.25</v>
      </c>
    </row>
    <row r="40" spans="1:8" x14ac:dyDescent="0.3">
      <c r="B40" s="29" t="s">
        <v>70</v>
      </c>
      <c r="C40" s="26"/>
      <c r="D40" s="30"/>
      <c r="E40" s="31"/>
      <c r="F40" s="32">
        <f>F39*C44</f>
        <v>30000</v>
      </c>
      <c r="H40" s="33"/>
    </row>
    <row r="41" spans="1:8" x14ac:dyDescent="0.3">
      <c r="B41" s="29" t="s">
        <v>71</v>
      </c>
      <c r="C41" s="26">
        <v>1500</v>
      </c>
      <c r="D41" s="30">
        <v>0.8</v>
      </c>
      <c r="E41" s="31">
        <f>D41*$C$37</f>
        <v>80</v>
      </c>
      <c r="F41" s="32">
        <f>E41*C41</f>
        <v>120000</v>
      </c>
      <c r="G41" s="33">
        <f>F41/$F$42</f>
        <v>0.75</v>
      </c>
      <c r="H41" s="33">
        <f>(F41)/$F$42</f>
        <v>0.75</v>
      </c>
    </row>
    <row r="42" spans="1:8" x14ac:dyDescent="0.3">
      <c r="B42" s="34" t="s">
        <v>72</v>
      </c>
      <c r="C42" s="35">
        <f>SUMPRODUCT(C39:C41,D39:D41)</f>
        <v>1300</v>
      </c>
      <c r="D42" s="25"/>
      <c r="E42" s="35">
        <f>SUM(E39:E41)</f>
        <v>100</v>
      </c>
      <c r="F42" s="36">
        <f>SUM(F39:F41)</f>
        <v>160000</v>
      </c>
      <c r="G42" s="25"/>
    </row>
    <row r="43" spans="1:8" x14ac:dyDescent="0.3">
      <c r="B43" s="25"/>
      <c r="C43" s="32"/>
      <c r="D43" s="25"/>
      <c r="E43" s="25"/>
      <c r="F43" s="25"/>
      <c r="G43" s="25"/>
    </row>
    <row r="44" spans="1:8" x14ac:dyDescent="0.3">
      <c r="B44" s="25" t="s">
        <v>70</v>
      </c>
      <c r="C44" s="37">
        <v>3</v>
      </c>
      <c r="D44" s="25"/>
      <c r="E44" s="25"/>
      <c r="F44" s="25"/>
      <c r="G44" s="25"/>
    </row>
    <row r="45" spans="1:8" x14ac:dyDescent="0.3">
      <c r="B45" s="25" t="s">
        <v>73</v>
      </c>
      <c r="C45" s="26">
        <v>5</v>
      </c>
      <c r="D45" s="25"/>
      <c r="E45" s="25"/>
      <c r="F45" s="25"/>
      <c r="G45" s="25"/>
    </row>
    <row r="46" spans="1:8" x14ac:dyDescent="0.3">
      <c r="B46" s="25" t="s">
        <v>74</v>
      </c>
      <c r="C46" s="30">
        <v>0.03</v>
      </c>
      <c r="D46" s="25"/>
      <c r="E46" s="25"/>
      <c r="F46" s="25"/>
      <c r="G46" s="25"/>
    </row>
    <row r="47" spans="1:8" x14ac:dyDescent="0.3">
      <c r="B47" s="25" t="s">
        <v>103</v>
      </c>
      <c r="C47" s="26">
        <v>10</v>
      </c>
      <c r="D47" s="25"/>
      <c r="E47" s="25"/>
      <c r="F47" s="25"/>
      <c r="G47" s="25"/>
    </row>
    <row r="48" spans="1:8" x14ac:dyDescent="0.3">
      <c r="B48" s="25" t="s">
        <v>104</v>
      </c>
      <c r="C48" s="26">
        <v>5</v>
      </c>
      <c r="D48" s="25"/>
      <c r="E48" s="25"/>
      <c r="F48" s="25"/>
      <c r="G48" s="25"/>
    </row>
    <row r="49" spans="2:7" x14ac:dyDescent="0.3">
      <c r="B49" s="25" t="s">
        <v>105</v>
      </c>
      <c r="C49" s="38">
        <f>C50*H39</f>
        <v>1.8749999999999999E-2</v>
      </c>
      <c r="D49" s="25"/>
      <c r="E49" s="25"/>
      <c r="F49" s="25"/>
      <c r="G49" s="25"/>
    </row>
    <row r="50" spans="2:7" x14ac:dyDescent="0.3">
      <c r="B50" s="25" t="s">
        <v>106</v>
      </c>
      <c r="C50" s="38">
        <v>7.4999999999999997E-2</v>
      </c>
      <c r="D50" s="25"/>
      <c r="E50" s="25"/>
      <c r="F50" s="25"/>
      <c r="G50" s="25"/>
    </row>
    <row r="51" spans="2:7" x14ac:dyDescent="0.3">
      <c r="C51" s="23"/>
    </row>
    <row r="52" spans="2:7" x14ac:dyDescent="0.3">
      <c r="B52" s="4" t="s">
        <v>56</v>
      </c>
    </row>
    <row r="53" spans="2:7" x14ac:dyDescent="0.3">
      <c r="B53" t="s">
        <v>32</v>
      </c>
      <c r="C53" s="3">
        <v>1200000</v>
      </c>
    </row>
    <row r="54" spans="2:7" x14ac:dyDescent="0.3">
      <c r="B54" t="s">
        <v>12</v>
      </c>
      <c r="C54" s="2">
        <v>0.02</v>
      </c>
    </row>
    <row r="55" spans="2:7" x14ac:dyDescent="0.3">
      <c r="B55" t="s">
        <v>81</v>
      </c>
      <c r="C55" s="2">
        <v>0.6</v>
      </c>
    </row>
    <row r="56" spans="2:7" x14ac:dyDescent="0.3">
      <c r="B56" t="s">
        <v>93</v>
      </c>
      <c r="C56" s="2">
        <v>0.25</v>
      </c>
    </row>
    <row r="57" spans="2:7" x14ac:dyDescent="0.3">
      <c r="C57" s="23"/>
    </row>
    <row r="58" spans="2:7" x14ac:dyDescent="0.3">
      <c r="B58" s="4" t="s">
        <v>62</v>
      </c>
      <c r="C58" s="3"/>
    </row>
    <row r="59" spans="2:7" x14ac:dyDescent="0.3">
      <c r="B59" t="s">
        <v>57</v>
      </c>
      <c r="C59" s="2">
        <v>0.8</v>
      </c>
    </row>
    <row r="60" spans="2:7" x14ac:dyDescent="0.3">
      <c r="B60" t="s">
        <v>59</v>
      </c>
      <c r="C60" s="2">
        <v>0.65</v>
      </c>
    </row>
    <row r="61" spans="2:7" x14ac:dyDescent="0.3">
      <c r="B61" t="s">
        <v>13</v>
      </c>
      <c r="C61" s="2">
        <v>6.5000000000000002E-2</v>
      </c>
    </row>
    <row r="62" spans="2:7" x14ac:dyDescent="0.3">
      <c r="B62" t="s">
        <v>58</v>
      </c>
      <c r="C62" s="2">
        <v>1.4999999999999999E-2</v>
      </c>
      <c r="D62" t="s">
        <v>60</v>
      </c>
    </row>
    <row r="63" spans="2:7" x14ac:dyDescent="0.3">
      <c r="B63" t="s">
        <v>63</v>
      </c>
      <c r="C63" s="2">
        <v>0.02</v>
      </c>
    </row>
    <row r="65" spans="1:3" x14ac:dyDescent="0.3">
      <c r="A65" s="6" t="s">
        <v>38</v>
      </c>
    </row>
    <row r="66" spans="1:3" x14ac:dyDescent="0.3">
      <c r="B66" t="s">
        <v>39</v>
      </c>
      <c r="C66" s="3">
        <v>150000</v>
      </c>
    </row>
    <row r="67" spans="1:3" x14ac:dyDescent="0.3">
      <c r="B67" t="s">
        <v>108</v>
      </c>
      <c r="C67" s="3">
        <v>40000</v>
      </c>
    </row>
    <row r="68" spans="1:3" x14ac:dyDescent="0.3">
      <c r="B68" t="s">
        <v>110</v>
      </c>
      <c r="C68" s="3">
        <v>800000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A8E3-A067-4A6E-AC65-A5B60C32BDF7}">
  <dimension ref="A1:Y101"/>
  <sheetViews>
    <sheetView workbookViewId="0">
      <pane xSplit="2" ySplit="6" topLeftCell="N7" activePane="bottomRight" state="frozen"/>
      <selection pane="topRight" activeCell="C1" sqref="C1"/>
      <selection pane="bottomLeft" activeCell="A8" sqref="A8"/>
      <selection pane="bottomRight" activeCell="K60" sqref="K60"/>
    </sheetView>
  </sheetViews>
  <sheetFormatPr defaultRowHeight="14.4" outlineLevelRow="1" x14ac:dyDescent="0.3"/>
  <cols>
    <col min="1" max="1" width="3.33203125" customWidth="1"/>
    <col min="2" max="2" width="34.44140625" bestFit="1" customWidth="1"/>
    <col min="5" max="5" width="12.88671875" style="16" bestFit="1" customWidth="1"/>
    <col min="6" max="6" width="13.77734375" style="16" bestFit="1" customWidth="1"/>
    <col min="7" max="25" width="12.88671875" style="16" bestFit="1" customWidth="1"/>
    <col min="26" max="16384" width="8.88671875" style="16"/>
  </cols>
  <sheetData>
    <row r="1" spans="1:25" customFormat="1" x14ac:dyDescent="0.3">
      <c r="A1" t="s">
        <v>43</v>
      </c>
    </row>
    <row r="2" spans="1:25" customFormat="1" x14ac:dyDescent="0.3">
      <c r="A2" t="s">
        <v>85</v>
      </c>
    </row>
    <row r="3" spans="1:25" customFormat="1" x14ac:dyDescent="0.3"/>
    <row r="4" spans="1:25" customFormat="1" x14ac:dyDescent="0.3">
      <c r="B4" t="s">
        <v>14</v>
      </c>
      <c r="E4" s="14">
        <f>Assumptions!C5</f>
        <v>45657</v>
      </c>
      <c r="F4" s="14">
        <f>EOMONTH(E4,12)</f>
        <v>46022</v>
      </c>
      <c r="G4" s="14">
        <f t="shared" ref="G4:Y4" si="0">EOMONTH(F4,12)</f>
        <v>46387</v>
      </c>
      <c r="H4" s="14">
        <f t="shared" si="0"/>
        <v>46752</v>
      </c>
      <c r="I4" s="14">
        <f t="shared" si="0"/>
        <v>47118</v>
      </c>
      <c r="J4" s="14">
        <f t="shared" si="0"/>
        <v>47483</v>
      </c>
      <c r="K4" s="14">
        <f t="shared" si="0"/>
        <v>47848</v>
      </c>
      <c r="L4" s="14">
        <f t="shared" si="0"/>
        <v>48213</v>
      </c>
      <c r="M4" s="14">
        <f t="shared" si="0"/>
        <v>48579</v>
      </c>
      <c r="N4" s="14">
        <f t="shared" si="0"/>
        <v>48944</v>
      </c>
      <c r="O4" s="14">
        <f t="shared" si="0"/>
        <v>49309</v>
      </c>
      <c r="P4" s="14">
        <f t="shared" si="0"/>
        <v>49674</v>
      </c>
      <c r="Q4" s="14">
        <f t="shared" si="0"/>
        <v>50040</v>
      </c>
      <c r="R4" s="14">
        <f t="shared" si="0"/>
        <v>50405</v>
      </c>
      <c r="S4" s="14">
        <f t="shared" si="0"/>
        <v>50770</v>
      </c>
      <c r="T4" s="14">
        <f t="shared" si="0"/>
        <v>51135</v>
      </c>
      <c r="U4" s="14">
        <f t="shared" si="0"/>
        <v>51501</v>
      </c>
      <c r="V4" s="14">
        <f t="shared" si="0"/>
        <v>51866</v>
      </c>
      <c r="W4" s="14">
        <f t="shared" si="0"/>
        <v>52231</v>
      </c>
      <c r="X4" s="14">
        <f t="shared" si="0"/>
        <v>52596</v>
      </c>
      <c r="Y4" s="14">
        <f t="shared" si="0"/>
        <v>52962</v>
      </c>
    </row>
    <row r="5" spans="1:25" customFormat="1" x14ac:dyDescent="0.3">
      <c r="B5" t="s">
        <v>15</v>
      </c>
      <c r="E5">
        <f>YEAR(E4)</f>
        <v>2024</v>
      </c>
      <c r="F5">
        <f>YEAR(F4)</f>
        <v>2025</v>
      </c>
      <c r="G5">
        <f t="shared" ref="G5:Y5" si="1">YEAR(G4)</f>
        <v>2026</v>
      </c>
      <c r="H5">
        <f t="shared" si="1"/>
        <v>2027</v>
      </c>
      <c r="I5">
        <f t="shared" si="1"/>
        <v>2028</v>
      </c>
      <c r="J5">
        <f t="shared" si="1"/>
        <v>2029</v>
      </c>
      <c r="K5">
        <f t="shared" si="1"/>
        <v>2030</v>
      </c>
      <c r="L5">
        <f t="shared" si="1"/>
        <v>2031</v>
      </c>
      <c r="M5">
        <f t="shared" si="1"/>
        <v>2032</v>
      </c>
      <c r="N5">
        <f t="shared" si="1"/>
        <v>2033</v>
      </c>
      <c r="O5">
        <f t="shared" si="1"/>
        <v>2034</v>
      </c>
      <c r="P5">
        <f t="shared" si="1"/>
        <v>2035</v>
      </c>
      <c r="Q5">
        <f t="shared" si="1"/>
        <v>2036</v>
      </c>
      <c r="R5">
        <f t="shared" si="1"/>
        <v>2037</v>
      </c>
      <c r="S5">
        <f t="shared" si="1"/>
        <v>2038</v>
      </c>
      <c r="T5">
        <f t="shared" si="1"/>
        <v>2039</v>
      </c>
      <c r="U5">
        <f t="shared" si="1"/>
        <v>2040</v>
      </c>
      <c r="V5">
        <f t="shared" si="1"/>
        <v>2041</v>
      </c>
      <c r="W5">
        <f t="shared" si="1"/>
        <v>2042</v>
      </c>
      <c r="X5">
        <f t="shared" si="1"/>
        <v>2043</v>
      </c>
      <c r="Y5">
        <f t="shared" si="1"/>
        <v>2044</v>
      </c>
    </row>
    <row r="6" spans="1:25" customFormat="1" x14ac:dyDescent="0.3">
      <c r="B6" t="s">
        <v>42</v>
      </c>
      <c r="E6">
        <v>0</v>
      </c>
      <c r="F6">
        <f>E6+1</f>
        <v>1</v>
      </c>
      <c r="G6">
        <f t="shared" ref="G6:Y6" si="2">F6+1</f>
        <v>2</v>
      </c>
      <c r="H6">
        <f t="shared" si="2"/>
        <v>3</v>
      </c>
      <c r="I6">
        <f t="shared" si="2"/>
        <v>4</v>
      </c>
      <c r="J6">
        <f t="shared" si="2"/>
        <v>5</v>
      </c>
      <c r="K6">
        <f t="shared" si="2"/>
        <v>6</v>
      </c>
      <c r="L6">
        <f t="shared" si="2"/>
        <v>7</v>
      </c>
      <c r="M6">
        <f t="shared" si="2"/>
        <v>8</v>
      </c>
      <c r="N6">
        <f t="shared" si="2"/>
        <v>9</v>
      </c>
      <c r="O6">
        <f t="shared" si="2"/>
        <v>10</v>
      </c>
      <c r="P6">
        <f t="shared" si="2"/>
        <v>11</v>
      </c>
      <c r="Q6">
        <f t="shared" si="2"/>
        <v>12</v>
      </c>
      <c r="R6">
        <f t="shared" si="2"/>
        <v>13</v>
      </c>
      <c r="S6">
        <f t="shared" si="2"/>
        <v>14</v>
      </c>
      <c r="T6">
        <f t="shared" si="2"/>
        <v>15</v>
      </c>
      <c r="U6">
        <f t="shared" si="2"/>
        <v>16</v>
      </c>
      <c r="V6">
        <f t="shared" si="2"/>
        <v>17</v>
      </c>
      <c r="W6">
        <f t="shared" si="2"/>
        <v>18</v>
      </c>
      <c r="X6">
        <f t="shared" si="2"/>
        <v>19</v>
      </c>
      <c r="Y6">
        <f t="shared" si="2"/>
        <v>20</v>
      </c>
    </row>
    <row r="7" spans="1:25" customFormat="1" x14ac:dyDescent="0.3"/>
    <row r="8" spans="1:25" x14ac:dyDescent="0.3">
      <c r="A8" s="6" t="s">
        <v>23</v>
      </c>
    </row>
    <row r="9" spans="1:25" x14ac:dyDescent="0.3">
      <c r="B9" s="4" t="s">
        <v>16</v>
      </c>
    </row>
    <row r="11" spans="1:25" x14ac:dyDescent="0.3">
      <c r="B11" t="s">
        <v>17</v>
      </c>
      <c r="E11" s="16">
        <v>0</v>
      </c>
      <c r="F11" s="16">
        <f>E13</f>
        <v>0</v>
      </c>
      <c r="G11" s="16">
        <f>F13</f>
        <v>2000000.0000000005</v>
      </c>
      <c r="H11" s="16">
        <f t="shared" ref="H11:Y11" si="3">G13</f>
        <v>4000000.0000000009</v>
      </c>
      <c r="I11" s="16">
        <f t="shared" si="3"/>
        <v>6000000.0000000019</v>
      </c>
      <c r="J11" s="16">
        <f t="shared" si="3"/>
        <v>8000000.0000000019</v>
      </c>
      <c r="K11" s="16">
        <f t="shared" si="3"/>
        <v>10000000.000000002</v>
      </c>
      <c r="L11" s="16">
        <f t="shared" si="3"/>
        <v>10000000.000000002</v>
      </c>
      <c r="M11" s="16">
        <f t="shared" si="3"/>
        <v>10000000.000000002</v>
      </c>
      <c r="N11" s="16">
        <f t="shared" si="3"/>
        <v>10000000.000000002</v>
      </c>
      <c r="O11" s="16">
        <f t="shared" si="3"/>
        <v>10000000.000000002</v>
      </c>
      <c r="P11" s="16">
        <f t="shared" si="3"/>
        <v>10000000.000000002</v>
      </c>
      <c r="Q11" s="16">
        <f t="shared" si="3"/>
        <v>10000000.000000002</v>
      </c>
      <c r="R11" s="16">
        <f t="shared" si="3"/>
        <v>11550686.108458724</v>
      </c>
      <c r="S11" s="16">
        <f t="shared" si="3"/>
        <v>11550686.108458724</v>
      </c>
      <c r="T11" s="16">
        <f t="shared" si="3"/>
        <v>13509388.935538344</v>
      </c>
      <c r="U11" s="16">
        <f t="shared" si="3"/>
        <v>13509388.935538344</v>
      </c>
      <c r="V11" s="16">
        <f t="shared" si="3"/>
        <v>16449049.440797763</v>
      </c>
      <c r="W11" s="16">
        <f t="shared" si="3"/>
        <v>16449049.440797763</v>
      </c>
      <c r="X11" s="16">
        <f t="shared" si="3"/>
        <v>19964158.684583873</v>
      </c>
      <c r="Y11" s="16">
        <f t="shared" si="3"/>
        <v>21755080.883467026</v>
      </c>
    </row>
    <row r="12" spans="1:25" x14ac:dyDescent="0.3">
      <c r="B12" t="s">
        <v>18</v>
      </c>
      <c r="C12" s="18"/>
      <c r="E12" s="16">
        <v>0</v>
      </c>
      <c r="F12" s="16">
        <f>IF(F88&lt;Assumptions!$C$68*F97,0,F88)</f>
        <v>2000000.0000000005</v>
      </c>
      <c r="G12" s="16">
        <f>IF(G88&lt;Assumptions!$C$68*G97,0,G88)</f>
        <v>2000000.0000000005</v>
      </c>
      <c r="H12" s="16">
        <f>IF(H88&lt;Assumptions!$C$68*H97,0,H88)</f>
        <v>2000000.0000000005</v>
      </c>
      <c r="I12" s="16">
        <f>IF(I88&lt;Assumptions!$C$68*I97,0,I88)</f>
        <v>2000000.0000000005</v>
      </c>
      <c r="J12" s="16">
        <f>IF(J88&lt;Assumptions!$C$68*J97,0,J88)</f>
        <v>2000000.0000000005</v>
      </c>
      <c r="K12" s="16">
        <f>IF(K88&lt;Assumptions!$C$68*K97,0,K88)</f>
        <v>0</v>
      </c>
      <c r="L12" s="16">
        <f>IF(L88&lt;Assumptions!$C$68*L97,0,L88)</f>
        <v>0</v>
      </c>
      <c r="M12" s="16">
        <f>IF(M88&lt;Assumptions!$C$68*M97,0,M88)</f>
        <v>0</v>
      </c>
      <c r="N12" s="16">
        <f>IF(N88&lt;Assumptions!$C$68*N97,0,N88)</f>
        <v>0</v>
      </c>
      <c r="O12" s="16">
        <f>IF(O88&lt;Assumptions!$C$68*O97,0,O88)</f>
        <v>0</v>
      </c>
      <c r="P12" s="16">
        <f>IF(P88&lt;Assumptions!$C$68*P97,0,P88)</f>
        <v>0</v>
      </c>
      <c r="Q12" s="16">
        <f>IF(Q88&lt;Assumptions!$C$68*Q97,0,Q88)</f>
        <v>1550686.1084587222</v>
      </c>
      <c r="R12" s="16">
        <f>IF(R88&lt;Assumptions!$C$68*R97,0,R88)</f>
        <v>0</v>
      </c>
      <c r="S12" s="16">
        <f>IF(S88&lt;Assumptions!$C$68*S97,0,S88)</f>
        <v>1958702.82707962</v>
      </c>
      <c r="T12" s="16">
        <f>IF(T88&lt;Assumptions!$C$68*T97,0,T88)</f>
        <v>0</v>
      </c>
      <c r="U12" s="16">
        <f>IF(U88&lt;Assumptions!$C$68*U97,0,U88)</f>
        <v>2939660.5052594193</v>
      </c>
      <c r="V12" s="16">
        <f>IF(V88&lt;Assumptions!$C$68*V97,0,V88)</f>
        <v>0</v>
      </c>
      <c r="W12" s="16">
        <f>IF(W88&lt;Assumptions!$C$68*W97,0,W88)</f>
        <v>3515109.2437861096</v>
      </c>
      <c r="X12" s="16">
        <f>IF(X88&lt;Assumptions!$C$68*X97,0,X88)</f>
        <v>1790922.198883153</v>
      </c>
      <c r="Y12" s="16">
        <f>IF(Y88&lt;Assumptions!$C$68*Y97,0,Y88)</f>
        <v>0</v>
      </c>
    </row>
    <row r="13" spans="1:25" x14ac:dyDescent="0.3">
      <c r="B13" t="s">
        <v>19</v>
      </c>
      <c r="E13" s="16">
        <f>E11+E12</f>
        <v>0</v>
      </c>
      <c r="F13" s="16">
        <f>F11+F12</f>
        <v>2000000.0000000005</v>
      </c>
      <c r="G13" s="16">
        <f>G11+G12</f>
        <v>4000000.0000000009</v>
      </c>
      <c r="H13" s="16">
        <f t="shared" ref="H13:Y13" si="4">H11+H12</f>
        <v>6000000.0000000019</v>
      </c>
      <c r="I13" s="16">
        <f t="shared" si="4"/>
        <v>8000000.0000000019</v>
      </c>
      <c r="J13" s="16">
        <f t="shared" si="4"/>
        <v>10000000.000000002</v>
      </c>
      <c r="K13" s="16">
        <f t="shared" si="4"/>
        <v>10000000.000000002</v>
      </c>
      <c r="L13" s="16">
        <f t="shared" si="4"/>
        <v>10000000.000000002</v>
      </c>
      <c r="M13" s="16">
        <f t="shared" si="4"/>
        <v>10000000.000000002</v>
      </c>
      <c r="N13" s="16">
        <f t="shared" si="4"/>
        <v>10000000.000000002</v>
      </c>
      <c r="O13" s="16">
        <f t="shared" si="4"/>
        <v>10000000.000000002</v>
      </c>
      <c r="P13" s="16">
        <f t="shared" si="4"/>
        <v>10000000.000000002</v>
      </c>
      <c r="Q13" s="16">
        <f t="shared" si="4"/>
        <v>11550686.108458724</v>
      </c>
      <c r="R13" s="16">
        <f t="shared" si="4"/>
        <v>11550686.108458724</v>
      </c>
      <c r="S13" s="16">
        <f t="shared" si="4"/>
        <v>13509388.935538344</v>
      </c>
      <c r="T13" s="16">
        <f t="shared" si="4"/>
        <v>13509388.935538344</v>
      </c>
      <c r="U13" s="16">
        <f t="shared" si="4"/>
        <v>16449049.440797763</v>
      </c>
      <c r="V13" s="16">
        <f t="shared" si="4"/>
        <v>16449049.440797763</v>
      </c>
      <c r="W13" s="16">
        <f t="shared" si="4"/>
        <v>19964158.684583873</v>
      </c>
      <c r="X13" s="16">
        <f t="shared" si="4"/>
        <v>21755080.883467026</v>
      </c>
      <c r="Y13" s="16">
        <f t="shared" si="4"/>
        <v>21755080.883467026</v>
      </c>
    </row>
    <row r="15" spans="1:25" x14ac:dyDescent="0.3">
      <c r="B15" t="s">
        <v>20</v>
      </c>
      <c r="E15" s="16">
        <v>0</v>
      </c>
      <c r="F15" s="16">
        <f>E17</f>
        <v>0</v>
      </c>
      <c r="G15" s="16">
        <f>F17</f>
        <v>16.995148869472857</v>
      </c>
      <c r="H15" s="16">
        <f t="shared" ref="H15:Y15" si="5">G17</f>
        <v>33.495293402941655</v>
      </c>
      <c r="I15" s="16">
        <f t="shared" si="5"/>
        <v>49.514851202425916</v>
      </c>
      <c r="J15" s="16">
        <f t="shared" si="5"/>
        <v>65.067819939789274</v>
      </c>
      <c r="K15" s="16">
        <f t="shared" si="5"/>
        <v>80.167789587714864</v>
      </c>
      <c r="L15" s="16">
        <f t="shared" si="5"/>
        <v>80.167789587714864</v>
      </c>
      <c r="M15" s="16">
        <f t="shared" si="5"/>
        <v>80.167789587714864</v>
      </c>
      <c r="N15" s="16">
        <f t="shared" si="5"/>
        <v>80.167789587714864</v>
      </c>
      <c r="O15" s="16">
        <f t="shared" si="5"/>
        <v>80.167789587714864</v>
      </c>
      <c r="P15" s="16">
        <f t="shared" si="5"/>
        <v>80.167789587714864</v>
      </c>
      <c r="Q15" s="16">
        <f t="shared" si="5"/>
        <v>80.167789587714864</v>
      </c>
      <c r="R15" s="16">
        <f t="shared" si="5"/>
        <v>89.687185775183863</v>
      </c>
      <c r="S15" s="16">
        <f t="shared" si="5"/>
        <v>89.687185775183863</v>
      </c>
      <c r="T15" s="16">
        <f t="shared" si="5"/>
        <v>101.02109177691808</v>
      </c>
      <c r="U15" s="16">
        <f t="shared" si="5"/>
        <v>101.02109177691808</v>
      </c>
      <c r="V15" s="16">
        <f t="shared" si="5"/>
        <v>117.0547929250455</v>
      </c>
      <c r="W15" s="16">
        <f t="shared" si="5"/>
        <v>117.0547929250455</v>
      </c>
      <c r="X15" s="16">
        <f t="shared" si="5"/>
        <v>135.12657514023246</v>
      </c>
      <c r="Y15" s="16">
        <f t="shared" si="5"/>
        <v>144.06583685825126</v>
      </c>
    </row>
    <row r="16" spans="1:25" x14ac:dyDescent="0.3">
      <c r="B16" t="s">
        <v>21</v>
      </c>
      <c r="E16" s="16">
        <v>0</v>
      </c>
      <c r="F16" s="16">
        <f>((F12-F56)/F19)</f>
        <v>16.995148869472857</v>
      </c>
      <c r="G16" s="16">
        <f t="shared" ref="G16:Y16" si="6">((G12-G56)/G19)</f>
        <v>16.500144533468795</v>
      </c>
      <c r="H16" s="16">
        <f t="shared" si="6"/>
        <v>16.019557799484264</v>
      </c>
      <c r="I16" s="16">
        <f t="shared" si="6"/>
        <v>15.552968737363361</v>
      </c>
      <c r="J16" s="16">
        <f t="shared" si="6"/>
        <v>15.099969647925596</v>
      </c>
      <c r="K16" s="16">
        <f t="shared" si="6"/>
        <v>0</v>
      </c>
      <c r="L16" s="16">
        <f t="shared" si="6"/>
        <v>0</v>
      </c>
      <c r="M16" s="16">
        <f t="shared" si="6"/>
        <v>0</v>
      </c>
      <c r="N16" s="16">
        <f t="shared" si="6"/>
        <v>0</v>
      </c>
      <c r="O16" s="16">
        <f t="shared" si="6"/>
        <v>0</v>
      </c>
      <c r="P16" s="16">
        <f t="shared" si="6"/>
        <v>0</v>
      </c>
      <c r="Q16" s="16">
        <f t="shared" si="6"/>
        <v>9.5193961874690043</v>
      </c>
      <c r="R16" s="16">
        <f t="shared" si="6"/>
        <v>0</v>
      </c>
      <c r="S16" s="16">
        <f t="shared" si="6"/>
        <v>11.333906001734226</v>
      </c>
      <c r="T16" s="16">
        <f t="shared" si="6"/>
        <v>0</v>
      </c>
      <c r="U16" s="16">
        <f t="shared" si="6"/>
        <v>16.033701148127424</v>
      </c>
      <c r="V16" s="16">
        <f t="shared" si="6"/>
        <v>0</v>
      </c>
      <c r="W16" s="16">
        <f t="shared" si="6"/>
        <v>18.071782215186968</v>
      </c>
      <c r="X16" s="16">
        <f t="shared" si="6"/>
        <v>8.9392617180187948</v>
      </c>
      <c r="Y16" s="16">
        <f t="shared" si="6"/>
        <v>0</v>
      </c>
    </row>
    <row r="17" spans="1:25" x14ac:dyDescent="0.3">
      <c r="B17" t="s">
        <v>22</v>
      </c>
      <c r="E17" s="16">
        <f>E15+E16</f>
        <v>0</v>
      </c>
      <c r="F17" s="16">
        <f>F15+F16</f>
        <v>16.995148869472857</v>
      </c>
      <c r="G17" s="16">
        <f>G15+G16</f>
        <v>33.495293402941655</v>
      </c>
      <c r="H17" s="16">
        <f t="shared" ref="H17:Y17" si="7">H15+H16</f>
        <v>49.514851202425916</v>
      </c>
      <c r="I17" s="16">
        <f t="shared" si="7"/>
        <v>65.067819939789274</v>
      </c>
      <c r="J17" s="16">
        <f t="shared" si="7"/>
        <v>80.167789587714864</v>
      </c>
      <c r="K17" s="16">
        <f t="shared" si="7"/>
        <v>80.167789587714864</v>
      </c>
      <c r="L17" s="16">
        <f t="shared" si="7"/>
        <v>80.167789587714864</v>
      </c>
      <c r="M17" s="16">
        <f t="shared" si="7"/>
        <v>80.167789587714864</v>
      </c>
      <c r="N17" s="16">
        <f t="shared" si="7"/>
        <v>80.167789587714864</v>
      </c>
      <c r="O17" s="16">
        <f t="shared" si="7"/>
        <v>80.167789587714864</v>
      </c>
      <c r="P17" s="16">
        <f t="shared" si="7"/>
        <v>80.167789587714864</v>
      </c>
      <c r="Q17" s="16">
        <f t="shared" si="7"/>
        <v>89.687185775183863</v>
      </c>
      <c r="R17" s="16">
        <f t="shared" si="7"/>
        <v>89.687185775183863</v>
      </c>
      <c r="S17" s="16">
        <f t="shared" si="7"/>
        <v>101.02109177691808</v>
      </c>
      <c r="T17" s="16">
        <f t="shared" si="7"/>
        <v>101.02109177691808</v>
      </c>
      <c r="U17" s="16">
        <f t="shared" si="7"/>
        <v>117.0547929250455</v>
      </c>
      <c r="V17" s="16">
        <f t="shared" si="7"/>
        <v>117.0547929250455</v>
      </c>
      <c r="W17" s="16">
        <f t="shared" si="7"/>
        <v>135.12657514023246</v>
      </c>
      <c r="X17" s="16">
        <f t="shared" si="7"/>
        <v>144.06583685825126</v>
      </c>
      <c r="Y17" s="16">
        <f t="shared" si="7"/>
        <v>144.06583685825126</v>
      </c>
    </row>
    <row r="19" spans="1:25" x14ac:dyDescent="0.3">
      <c r="B19" t="s">
        <v>119</v>
      </c>
      <c r="E19" s="16">
        <f>Assumptions!C30</f>
        <v>112425</v>
      </c>
      <c r="F19" s="16">
        <f t="shared" ref="F19:O23" si="8">$E19*F$97</f>
        <v>115797.75</v>
      </c>
      <c r="G19" s="16">
        <f t="shared" si="8"/>
        <v>119271.6825</v>
      </c>
      <c r="H19" s="16">
        <f t="shared" si="8"/>
        <v>122849.832975</v>
      </c>
      <c r="I19" s="16">
        <f t="shared" si="8"/>
        <v>126535.32796425001</v>
      </c>
      <c r="J19" s="16">
        <f t="shared" si="8"/>
        <v>130331.38780317751</v>
      </c>
      <c r="K19" s="16">
        <f t="shared" si="8"/>
        <v>134241.32943727283</v>
      </c>
      <c r="L19" s="16">
        <f t="shared" si="8"/>
        <v>138268.56932039102</v>
      </c>
      <c r="M19" s="16">
        <f t="shared" si="8"/>
        <v>142416.62640000277</v>
      </c>
      <c r="N19" s="16">
        <f t="shared" si="8"/>
        <v>146689.12519200286</v>
      </c>
      <c r="O19" s="16">
        <f t="shared" si="8"/>
        <v>151089.79894776293</v>
      </c>
      <c r="P19" s="16">
        <f t="shared" ref="P19:Y23" si="9">$E19*P$97</f>
        <v>155622.49291619583</v>
      </c>
      <c r="Q19" s="16">
        <f t="shared" si="9"/>
        <v>160291.16770368171</v>
      </c>
      <c r="R19" s="16">
        <f t="shared" si="9"/>
        <v>165099.90273479218</v>
      </c>
      <c r="S19" s="16">
        <f t="shared" si="9"/>
        <v>170052.89981683597</v>
      </c>
      <c r="T19" s="16">
        <f t="shared" si="9"/>
        <v>175154.48681134105</v>
      </c>
      <c r="U19" s="16">
        <f t="shared" si="9"/>
        <v>180409.12141568129</v>
      </c>
      <c r="V19" s="16">
        <f t="shared" si="9"/>
        <v>185821.39505815171</v>
      </c>
      <c r="W19" s="16">
        <f t="shared" si="9"/>
        <v>191396.03690989627</v>
      </c>
      <c r="X19" s="16">
        <f t="shared" si="9"/>
        <v>197137.91801719318</v>
      </c>
      <c r="Y19" s="16">
        <f t="shared" si="9"/>
        <v>203052.05555770898</v>
      </c>
    </row>
    <row r="20" spans="1:25" x14ac:dyDescent="0.3">
      <c r="B20" t="s">
        <v>120</v>
      </c>
      <c r="E20" s="16">
        <f>Assumptions!D22</f>
        <v>9368.75</v>
      </c>
      <c r="F20" s="16">
        <f t="shared" si="8"/>
        <v>9649.8125</v>
      </c>
      <c r="G20" s="16">
        <f t="shared" si="8"/>
        <v>9939.3068750000002</v>
      </c>
      <c r="H20" s="16">
        <f t="shared" si="8"/>
        <v>10237.486081249999</v>
      </c>
      <c r="I20" s="16">
        <f t="shared" si="8"/>
        <v>10544.610663687501</v>
      </c>
      <c r="J20" s="16">
        <f t="shared" si="8"/>
        <v>10860.948983598126</v>
      </c>
      <c r="K20" s="16">
        <f t="shared" si="8"/>
        <v>11186.77745310607</v>
      </c>
      <c r="L20" s="16">
        <f t="shared" si="8"/>
        <v>11522.380776699252</v>
      </c>
      <c r="M20" s="16">
        <f t="shared" si="8"/>
        <v>11868.052200000231</v>
      </c>
      <c r="N20" s="16">
        <f t="shared" si="8"/>
        <v>12224.093766000238</v>
      </c>
      <c r="O20" s="16">
        <f t="shared" si="8"/>
        <v>12590.816578980244</v>
      </c>
      <c r="P20" s="16">
        <f t="shared" si="9"/>
        <v>12968.541076349653</v>
      </c>
      <c r="Q20" s="16">
        <f t="shared" si="9"/>
        <v>13357.597308640143</v>
      </c>
      <c r="R20" s="16">
        <f t="shared" si="9"/>
        <v>13758.325227899348</v>
      </c>
      <c r="S20" s="16">
        <f t="shared" si="9"/>
        <v>14171.074984736329</v>
      </c>
      <c r="T20" s="16">
        <f t="shared" si="9"/>
        <v>14596.207234278419</v>
      </c>
      <c r="U20" s="16">
        <f t="shared" si="9"/>
        <v>15034.093451306773</v>
      </c>
      <c r="V20" s="16">
        <f t="shared" si="9"/>
        <v>15485.116254845976</v>
      </c>
      <c r="W20" s="16">
        <f t="shared" si="9"/>
        <v>15949.669742491356</v>
      </c>
      <c r="X20" s="16">
        <f t="shared" si="9"/>
        <v>16428.159834766098</v>
      </c>
      <c r="Y20" s="16">
        <f t="shared" si="9"/>
        <v>16921.004629809082</v>
      </c>
    </row>
    <row r="21" spans="1:25" x14ac:dyDescent="0.3">
      <c r="B21" t="s">
        <v>121</v>
      </c>
      <c r="E21" s="16">
        <f>Assumptions!E14*(1-Assumptions!D17)</f>
        <v>15468.75</v>
      </c>
      <c r="F21" s="16">
        <f t="shared" si="8"/>
        <v>15932.8125</v>
      </c>
      <c r="G21" s="16">
        <f t="shared" si="8"/>
        <v>16410.796875</v>
      </c>
      <c r="H21" s="16">
        <f t="shared" si="8"/>
        <v>16903.12078125</v>
      </c>
      <c r="I21" s="16">
        <f t="shared" si="8"/>
        <v>17410.214404687504</v>
      </c>
      <c r="J21" s="16">
        <f t="shared" si="8"/>
        <v>17932.520836828127</v>
      </c>
      <c r="K21" s="16">
        <f t="shared" si="8"/>
        <v>18470.496461932969</v>
      </c>
      <c r="L21" s="16">
        <f t="shared" si="8"/>
        <v>19024.611355790959</v>
      </c>
      <c r="M21" s="16">
        <f t="shared" si="8"/>
        <v>19595.349696464691</v>
      </c>
      <c r="N21" s="16">
        <f t="shared" si="8"/>
        <v>20183.210187358633</v>
      </c>
      <c r="O21" s="16">
        <f t="shared" si="8"/>
        <v>20788.706492979392</v>
      </c>
      <c r="P21" s="16">
        <f t="shared" si="9"/>
        <v>21412.367687768772</v>
      </c>
      <c r="Q21" s="16">
        <f t="shared" si="9"/>
        <v>22054.738718401837</v>
      </c>
      <c r="R21" s="16">
        <f t="shared" si="9"/>
        <v>22716.380879953893</v>
      </c>
      <c r="S21" s="16">
        <f t="shared" si="9"/>
        <v>23397.87230635251</v>
      </c>
      <c r="T21" s="16">
        <f t="shared" si="9"/>
        <v>24099.80847554309</v>
      </c>
      <c r="U21" s="16">
        <f t="shared" si="9"/>
        <v>24822.802729809384</v>
      </c>
      <c r="V21" s="16">
        <f t="shared" si="9"/>
        <v>25567.486811703664</v>
      </c>
      <c r="W21" s="16">
        <f t="shared" si="9"/>
        <v>26334.511416054775</v>
      </c>
      <c r="X21" s="16">
        <f t="shared" si="9"/>
        <v>27124.54675853642</v>
      </c>
      <c r="Y21" s="16">
        <f t="shared" si="9"/>
        <v>27938.283161292515</v>
      </c>
    </row>
    <row r="22" spans="1:25" x14ac:dyDescent="0.3">
      <c r="B22" t="s">
        <v>122</v>
      </c>
      <c r="E22" s="16">
        <f>(Assumptions!D18*12+Assumptions!D20*(1-Assumptions!D21*Assumptions!D10)*12)+Assumptions!D19</f>
        <v>6100</v>
      </c>
      <c r="F22" s="16">
        <f t="shared" si="8"/>
        <v>6283</v>
      </c>
      <c r="G22" s="16">
        <f t="shared" si="8"/>
        <v>6471.49</v>
      </c>
      <c r="H22" s="16">
        <f t="shared" si="8"/>
        <v>6665.6346999999996</v>
      </c>
      <c r="I22" s="16">
        <f t="shared" si="8"/>
        <v>6865.6037410000008</v>
      </c>
      <c r="J22" s="16">
        <f t="shared" si="8"/>
        <v>7071.5718532300007</v>
      </c>
      <c r="K22" s="16">
        <f t="shared" si="8"/>
        <v>7283.7190088269008</v>
      </c>
      <c r="L22" s="16">
        <f t="shared" si="8"/>
        <v>7502.230579091708</v>
      </c>
      <c r="M22" s="16">
        <f t="shared" si="8"/>
        <v>7727.29749646446</v>
      </c>
      <c r="N22" s="16">
        <f t="shared" si="8"/>
        <v>7959.1164213583943</v>
      </c>
      <c r="O22" s="16">
        <f t="shared" si="8"/>
        <v>8197.8899139991463</v>
      </c>
      <c r="P22" s="16">
        <f t="shared" si="9"/>
        <v>8443.826611419121</v>
      </c>
      <c r="Q22" s="16">
        <f t="shared" si="9"/>
        <v>8697.1414097616944</v>
      </c>
      <c r="R22" s="16">
        <f t="shared" si="9"/>
        <v>8958.0556520545451</v>
      </c>
      <c r="S22" s="16">
        <f t="shared" si="9"/>
        <v>9226.7973216161827</v>
      </c>
      <c r="T22" s="16">
        <f t="shared" si="9"/>
        <v>9503.6012412646687</v>
      </c>
      <c r="U22" s="16">
        <f t="shared" si="9"/>
        <v>9788.7092785026089</v>
      </c>
      <c r="V22" s="16">
        <f t="shared" si="9"/>
        <v>10082.370556857688</v>
      </c>
      <c r="W22" s="16">
        <f t="shared" si="9"/>
        <v>10384.841673563418</v>
      </c>
      <c r="X22" s="16">
        <f t="shared" si="9"/>
        <v>10696.386923770322</v>
      </c>
      <c r="Y22" s="16">
        <f t="shared" si="9"/>
        <v>11017.278531483431</v>
      </c>
    </row>
    <row r="23" spans="1:25" x14ac:dyDescent="0.3">
      <c r="B23" t="s">
        <v>123</v>
      </c>
      <c r="E23" s="16">
        <f>E20/Assumptions!C32</f>
        <v>104097.22222222222</v>
      </c>
      <c r="F23" s="16">
        <f t="shared" si="8"/>
        <v>107220.13888888889</v>
      </c>
      <c r="G23" s="16">
        <f t="shared" si="8"/>
        <v>110436.74305555555</v>
      </c>
      <c r="H23" s="16">
        <f t="shared" si="8"/>
        <v>113749.84534722222</v>
      </c>
      <c r="I23" s="16">
        <f t="shared" si="8"/>
        <v>117162.3407076389</v>
      </c>
      <c r="J23" s="16">
        <f t="shared" si="8"/>
        <v>120677.21092886807</v>
      </c>
      <c r="K23" s="16">
        <f t="shared" si="8"/>
        <v>124297.5272567341</v>
      </c>
      <c r="L23" s="16">
        <f t="shared" si="8"/>
        <v>128026.45307443614</v>
      </c>
      <c r="M23" s="16">
        <f t="shared" si="8"/>
        <v>131867.24666666923</v>
      </c>
      <c r="N23" s="16">
        <f t="shared" si="8"/>
        <v>135823.2640666693</v>
      </c>
      <c r="O23" s="16">
        <f t="shared" si="8"/>
        <v>139897.96198866938</v>
      </c>
      <c r="P23" s="16">
        <f t="shared" si="9"/>
        <v>144094.90084832947</v>
      </c>
      <c r="Q23" s="16">
        <f t="shared" si="9"/>
        <v>148417.74787377936</v>
      </c>
      <c r="R23" s="16">
        <f t="shared" si="9"/>
        <v>152870.28030999276</v>
      </c>
      <c r="S23" s="16">
        <f t="shared" si="9"/>
        <v>157456.38871929253</v>
      </c>
      <c r="T23" s="16">
        <f t="shared" si="9"/>
        <v>162180.08038087134</v>
      </c>
      <c r="U23" s="16">
        <f t="shared" si="9"/>
        <v>167045.48279229749</v>
      </c>
      <c r="V23" s="16">
        <f t="shared" si="9"/>
        <v>172056.8472760664</v>
      </c>
      <c r="W23" s="16">
        <f t="shared" si="9"/>
        <v>177218.55269434839</v>
      </c>
      <c r="X23" s="16">
        <f t="shared" si="9"/>
        <v>182535.10927517887</v>
      </c>
      <c r="Y23" s="16">
        <f t="shared" si="9"/>
        <v>188011.16255343423</v>
      </c>
    </row>
    <row r="24" spans="1:25" x14ac:dyDescent="0.3">
      <c r="B24" t="s">
        <v>55</v>
      </c>
      <c r="E24" s="16">
        <f>E23*Assumptions!$D$23</f>
        <v>2081944.4444444445</v>
      </c>
      <c r="F24" s="16">
        <f>F23*Assumptions!$D$23</f>
        <v>2144402.777777778</v>
      </c>
      <c r="G24" s="16">
        <f>G23*Assumptions!$D$23</f>
        <v>2208734.861111111</v>
      </c>
      <c r="H24" s="16">
        <f>H23*Assumptions!$D$23</f>
        <v>2274996.9069444444</v>
      </c>
      <c r="I24" s="16">
        <f>I23*Assumptions!$D$23</f>
        <v>2343246.8141527781</v>
      </c>
      <c r="J24" s="16">
        <f>J23*Assumptions!$D$23</f>
        <v>2413544.2185773612</v>
      </c>
      <c r="K24" s="16">
        <f>K23*Assumptions!$D$23</f>
        <v>2485950.5451346822</v>
      </c>
      <c r="L24" s="16">
        <f>L23*Assumptions!$D$23</f>
        <v>2560529.0614887229</v>
      </c>
      <c r="M24" s="16">
        <f>M23*Assumptions!$D$23</f>
        <v>2637344.9333333848</v>
      </c>
      <c r="N24" s="16">
        <f>N23*Assumptions!$D$23</f>
        <v>2716465.281333386</v>
      </c>
      <c r="O24" s="16">
        <f>O23*Assumptions!$D$23</f>
        <v>2797959.2397733876</v>
      </c>
      <c r="P24" s="16">
        <f>P23*Assumptions!$D$23</f>
        <v>2881898.0169665897</v>
      </c>
      <c r="Q24" s="16">
        <f>Q23*Assumptions!$D$23</f>
        <v>2968354.9574755873</v>
      </c>
      <c r="R24" s="16">
        <f>R23*Assumptions!$D$23</f>
        <v>3057405.606199855</v>
      </c>
      <c r="S24" s="16">
        <f>S23*Assumptions!$D$23</f>
        <v>3149127.7743858509</v>
      </c>
      <c r="T24" s="16">
        <f>T23*Assumptions!$D$23</f>
        <v>3243601.6076174267</v>
      </c>
      <c r="U24" s="16">
        <f>U23*Assumptions!$D$23</f>
        <v>3340909.6558459499</v>
      </c>
      <c r="V24" s="16">
        <f>V23*Assumptions!$D$23</f>
        <v>3441136.9455213281</v>
      </c>
      <c r="W24" s="16">
        <f>W23*Assumptions!$D$23</f>
        <v>3544371.0538869677</v>
      </c>
      <c r="X24" s="16">
        <f>X23*Assumptions!$D$23</f>
        <v>3650702.1855035773</v>
      </c>
      <c r="Y24" s="16">
        <f>Y23*Assumptions!$D$23</f>
        <v>3760223.2510686847</v>
      </c>
    </row>
    <row r="25" spans="1:25" x14ac:dyDescent="0.3">
      <c r="J25" s="18"/>
    </row>
    <row r="26" spans="1:25" x14ac:dyDescent="0.3">
      <c r="B26" t="s">
        <v>33</v>
      </c>
      <c r="E26" s="16">
        <f>E$23*E15</f>
        <v>0</v>
      </c>
      <c r="F26" s="16">
        <f t="shared" ref="F26:Y26" si="10">F$23*F15</f>
        <v>0</v>
      </c>
      <c r="G26" s="16">
        <f t="shared" si="10"/>
        <v>1876888.8888888892</v>
      </c>
      <c r="H26" s="16">
        <f t="shared" si="10"/>
        <v>3810084.4444444459</v>
      </c>
      <c r="I26" s="16">
        <f t="shared" si="10"/>
        <v>5801275.866666669</v>
      </c>
      <c r="J26" s="16">
        <f t="shared" si="10"/>
        <v>7852203.0315555576</v>
      </c>
      <c r="K26" s="16">
        <f t="shared" si="10"/>
        <v>9964658.0113911126</v>
      </c>
      <c r="L26" s="16">
        <f t="shared" si="10"/>
        <v>10263597.751732847</v>
      </c>
      <c r="M26" s="16">
        <f t="shared" si="10"/>
        <v>10571505.684284834</v>
      </c>
      <c r="N26" s="16">
        <f t="shared" si="10"/>
        <v>10888650.854813378</v>
      </c>
      <c r="O26" s="16">
        <f t="shared" si="10"/>
        <v>11215310.380457779</v>
      </c>
      <c r="P26" s="16">
        <f t="shared" si="10"/>
        <v>11551769.691871513</v>
      </c>
      <c r="Q26" s="16">
        <f t="shared" si="10"/>
        <v>11898322.782627659</v>
      </c>
      <c r="R26" s="16">
        <f t="shared" si="10"/>
        <v>13710505.229666753</v>
      </c>
      <c r="S26" s="16">
        <f t="shared" si="10"/>
        <v>14121820.386556754</v>
      </c>
      <c r="T26" s="16">
        <f t="shared" si="10"/>
        <v>16383608.784543956</v>
      </c>
      <c r="U26" s="16">
        <f t="shared" si="10"/>
        <v>16875117.048080277</v>
      </c>
      <c r="V26" s="16">
        <f t="shared" si="10"/>
        <v>20140078.629236132</v>
      </c>
      <c r="W26" s="16">
        <f t="shared" si="10"/>
        <v>20744280.988113217</v>
      </c>
      <c r="X26" s="16">
        <f t="shared" si="10"/>
        <v>24665344.159203</v>
      </c>
      <c r="Y26" s="16">
        <f t="shared" si="10"/>
        <v>27085985.471953213</v>
      </c>
    </row>
    <row r="27" spans="1:25" x14ac:dyDescent="0.3">
      <c r="B27" t="s">
        <v>37</v>
      </c>
      <c r="E27" s="16">
        <f>E$23*E17</f>
        <v>0</v>
      </c>
      <c r="F27" s="16">
        <f t="shared" ref="F27:Y27" si="11">F$23*F17</f>
        <v>1822222.2222222227</v>
      </c>
      <c r="G27" s="16">
        <f t="shared" si="11"/>
        <v>3699111.1111111124</v>
      </c>
      <c r="H27" s="16">
        <f t="shared" si="11"/>
        <v>5632306.6666666679</v>
      </c>
      <c r="I27" s="16">
        <f t="shared" si="11"/>
        <v>7623498.088888891</v>
      </c>
      <c r="J27" s="16">
        <f t="shared" si="11"/>
        <v>9674425.2537777796</v>
      </c>
      <c r="K27" s="16">
        <f t="shared" si="11"/>
        <v>9964658.0113911126</v>
      </c>
      <c r="L27" s="16">
        <f t="shared" si="11"/>
        <v>10263597.751732847</v>
      </c>
      <c r="M27" s="16">
        <f t="shared" si="11"/>
        <v>10571505.684284834</v>
      </c>
      <c r="N27" s="16">
        <f t="shared" si="11"/>
        <v>10888650.854813378</v>
      </c>
      <c r="O27" s="16">
        <f t="shared" si="11"/>
        <v>11215310.380457779</v>
      </c>
      <c r="P27" s="16">
        <f t="shared" si="11"/>
        <v>11551769.691871513</v>
      </c>
      <c r="Q27" s="16">
        <f t="shared" si="11"/>
        <v>13311170.125890048</v>
      </c>
      <c r="R27" s="16">
        <f t="shared" si="11"/>
        <v>13710505.229666753</v>
      </c>
      <c r="S27" s="16">
        <f t="shared" si="11"/>
        <v>15906416.295673741</v>
      </c>
      <c r="T27" s="16">
        <f t="shared" si="11"/>
        <v>16383608.784543956</v>
      </c>
      <c r="U27" s="16">
        <f t="shared" si="11"/>
        <v>19553474.397316635</v>
      </c>
      <c r="V27" s="16">
        <f t="shared" si="11"/>
        <v>20140078.629236132</v>
      </c>
      <c r="W27" s="16">
        <f t="shared" si="11"/>
        <v>23946936.076896112</v>
      </c>
      <c r="X27" s="16">
        <f t="shared" si="11"/>
        <v>26297073.273740984</v>
      </c>
      <c r="Y27" s="16">
        <f t="shared" si="11"/>
        <v>27085985.471953213</v>
      </c>
    </row>
    <row r="29" spans="1:25" x14ac:dyDescent="0.3">
      <c r="B29" t="s">
        <v>84</v>
      </c>
      <c r="E29" s="16">
        <f>E20*E15</f>
        <v>0</v>
      </c>
      <c r="F29" s="16">
        <f t="shared" ref="F29:Y29" si="12">F20*F15</f>
        <v>0</v>
      </c>
      <c r="G29" s="16">
        <f t="shared" si="12"/>
        <v>168920.00000000006</v>
      </c>
      <c r="H29" s="16">
        <f t="shared" si="12"/>
        <v>342907.60000000009</v>
      </c>
      <c r="I29" s="16">
        <f t="shared" si="12"/>
        <v>522114.82800000021</v>
      </c>
      <c r="J29" s="16">
        <f t="shared" si="12"/>
        <v>706698.27284000022</v>
      </c>
      <c r="K29" s="16">
        <f t="shared" si="12"/>
        <v>896819.22102520021</v>
      </c>
      <c r="L29" s="16">
        <f t="shared" si="12"/>
        <v>923723.79765595624</v>
      </c>
      <c r="M29" s="16">
        <f t="shared" si="12"/>
        <v>951435.51158563502</v>
      </c>
      <c r="N29" s="16">
        <f t="shared" si="12"/>
        <v>979978.57693320408</v>
      </c>
      <c r="O29" s="16">
        <f t="shared" si="12"/>
        <v>1009377.9342412001</v>
      </c>
      <c r="P29" s="16">
        <f t="shared" si="12"/>
        <v>1039659.2722684363</v>
      </c>
      <c r="Q29" s="16">
        <f t="shared" si="12"/>
        <v>1070849.0504364893</v>
      </c>
      <c r="R29" s="16">
        <f t="shared" si="12"/>
        <v>1233945.4706700076</v>
      </c>
      <c r="S29" s="16">
        <f t="shared" si="12"/>
        <v>1270963.834790108</v>
      </c>
      <c r="T29" s="16">
        <f t="shared" si="12"/>
        <v>1474524.7906089558</v>
      </c>
      <c r="U29" s="16">
        <f t="shared" si="12"/>
        <v>1518760.5343272246</v>
      </c>
      <c r="V29" s="16">
        <f t="shared" si="12"/>
        <v>1812607.076631252</v>
      </c>
      <c r="W29" s="16">
        <f t="shared" si="12"/>
        <v>1866985.2889301896</v>
      </c>
      <c r="X29" s="16">
        <f t="shared" si="12"/>
        <v>2219880.9743282702</v>
      </c>
      <c r="Y29" s="16">
        <f t="shared" si="12"/>
        <v>2437738.6924757892</v>
      </c>
    </row>
    <row r="31" spans="1:25" x14ac:dyDescent="0.3">
      <c r="A31" s="6" t="s">
        <v>26</v>
      </c>
    </row>
    <row r="33" spans="2:25" x14ac:dyDescent="0.3">
      <c r="B33" t="s">
        <v>76</v>
      </c>
      <c r="E33" s="16">
        <v>0</v>
      </c>
      <c r="F33" s="16">
        <f>E36</f>
        <v>0</v>
      </c>
      <c r="G33" s="16">
        <f t="shared" ref="G33:Y33" si="13">F36</f>
        <v>0</v>
      </c>
      <c r="H33" s="16">
        <f t="shared" si="13"/>
        <v>0</v>
      </c>
      <c r="I33" s="16">
        <f t="shared" si="13"/>
        <v>0</v>
      </c>
      <c r="J33" s="16">
        <f t="shared" si="13"/>
        <v>0</v>
      </c>
      <c r="K33" s="16">
        <f t="shared" si="13"/>
        <v>0</v>
      </c>
      <c r="L33" s="16">
        <f t="shared" si="13"/>
        <v>0</v>
      </c>
      <c r="M33" s="16">
        <f t="shared" si="13"/>
        <v>0</v>
      </c>
      <c r="N33" s="16">
        <f t="shared" si="13"/>
        <v>0</v>
      </c>
      <c r="O33" s="16">
        <f t="shared" si="13"/>
        <v>0</v>
      </c>
      <c r="P33" s="16">
        <f t="shared" si="13"/>
        <v>0</v>
      </c>
      <c r="Q33" s="16">
        <f t="shared" si="13"/>
        <v>0</v>
      </c>
      <c r="R33" s="16">
        <f t="shared" si="13"/>
        <v>0</v>
      </c>
      <c r="S33" s="16">
        <f t="shared" si="13"/>
        <v>0</v>
      </c>
      <c r="T33" s="16">
        <f t="shared" si="13"/>
        <v>0</v>
      </c>
      <c r="U33" s="16">
        <f t="shared" si="13"/>
        <v>0</v>
      </c>
      <c r="V33" s="16">
        <f t="shared" si="13"/>
        <v>0</v>
      </c>
      <c r="W33" s="16">
        <f t="shared" si="13"/>
        <v>0</v>
      </c>
      <c r="X33" s="16">
        <f t="shared" si="13"/>
        <v>0</v>
      </c>
      <c r="Y33" s="16">
        <f t="shared" si="13"/>
        <v>0</v>
      </c>
    </row>
    <row r="34" spans="2:25" x14ac:dyDescent="0.3">
      <c r="B34" t="s">
        <v>75</v>
      </c>
      <c r="E34" s="16">
        <v>0</v>
      </c>
      <c r="F34" s="16">
        <f>(F6&lt;=Assumptions!$C$45)*Assumptions!$F$42</f>
        <v>160000</v>
      </c>
      <c r="G34" s="16">
        <f>(G6&lt;=Assumptions!$C$45)*Assumptions!$F$42</f>
        <v>160000</v>
      </c>
      <c r="H34" s="16">
        <f>(H6&lt;=Assumptions!$C$45)*Assumptions!$F$42</f>
        <v>160000</v>
      </c>
      <c r="I34" s="16">
        <f>(I6&lt;=Assumptions!$C$45)*Assumptions!$F$42</f>
        <v>160000</v>
      </c>
      <c r="J34" s="16">
        <f>(J6&lt;=Assumptions!$C$45)*Assumptions!$F$42</f>
        <v>160000</v>
      </c>
      <c r="K34" s="16">
        <f>(K6&lt;=Assumptions!$C$45)*Assumptions!$F$42</f>
        <v>0</v>
      </c>
      <c r="L34" s="16">
        <f>(L6&lt;=Assumptions!$C$45)*Assumptions!$F$42</f>
        <v>0</v>
      </c>
      <c r="M34" s="16">
        <f>(M6&lt;=Assumptions!$C$45)*Assumptions!$F$42</f>
        <v>0</v>
      </c>
      <c r="N34" s="16">
        <f>(N6&lt;=Assumptions!$C$45)*Assumptions!$F$42</f>
        <v>0</v>
      </c>
      <c r="O34" s="16">
        <f>(O6&lt;=Assumptions!$C$45)*Assumptions!$F$42</f>
        <v>0</v>
      </c>
      <c r="P34" s="16">
        <f>(P6&lt;=Assumptions!$C$45)*Assumptions!$F$42</f>
        <v>0</v>
      </c>
      <c r="Q34" s="16">
        <f>(Q6&lt;=Assumptions!$C$45)*Assumptions!$F$42</f>
        <v>0</v>
      </c>
      <c r="R34" s="16">
        <f>(R6&lt;=Assumptions!$C$45)*Assumptions!$F$42</f>
        <v>0</v>
      </c>
      <c r="S34" s="16">
        <f>(S6&lt;=Assumptions!$C$45)*Assumptions!$F$42</f>
        <v>0</v>
      </c>
      <c r="T34" s="16">
        <f>(T6&lt;=Assumptions!$C$45)*Assumptions!$F$42</f>
        <v>0</v>
      </c>
      <c r="U34" s="16">
        <f>(U6&lt;=Assumptions!$C$45)*Assumptions!$F$42</f>
        <v>0</v>
      </c>
      <c r="V34" s="16">
        <f>(V6&lt;=Assumptions!$C$45)*Assumptions!$F$42</f>
        <v>0</v>
      </c>
      <c r="W34" s="16">
        <f>(W6&lt;=Assumptions!$C$45)*Assumptions!$F$42</f>
        <v>0</v>
      </c>
      <c r="X34" s="16">
        <f>(X6&lt;=Assumptions!$C$45)*Assumptions!$F$42</f>
        <v>0</v>
      </c>
      <c r="Y34" s="16">
        <f>(Y6&lt;=Assumptions!$C$45)*Assumptions!$F$42</f>
        <v>0</v>
      </c>
    </row>
    <row r="35" spans="2:25" x14ac:dyDescent="0.3">
      <c r="B35" t="s">
        <v>28</v>
      </c>
      <c r="E35" s="16">
        <f>MIN(E33+E34,E12*(1-Assumptions!$C$59))</f>
        <v>0</v>
      </c>
      <c r="F35" s="16">
        <f>MIN(F33+F34,F12*(1-Assumptions!$C$59))</f>
        <v>160000</v>
      </c>
      <c r="G35" s="16">
        <f>MIN(G33+G34,G12*(1-Assumptions!$C$59))</f>
        <v>160000</v>
      </c>
      <c r="H35" s="16">
        <f>MIN(H33+H34,H12*(1-Assumptions!$C$59))</f>
        <v>160000</v>
      </c>
      <c r="I35" s="16">
        <f>MIN(I33+I34,I12*(1-Assumptions!$C$59))</f>
        <v>160000</v>
      </c>
      <c r="J35" s="16">
        <f>MIN(J33+J34,J12*(1-Assumptions!$C$59))</f>
        <v>160000</v>
      </c>
      <c r="K35" s="16">
        <f>MIN(K33+K34,K12*(1-Assumptions!$C$59))</f>
        <v>0</v>
      </c>
      <c r="L35" s="16">
        <f>MIN(L33+L34,L12*(1-Assumptions!$C$59))</f>
        <v>0</v>
      </c>
      <c r="M35" s="16">
        <f>MIN(M33+M34,M12*(1-Assumptions!$C$59))</f>
        <v>0</v>
      </c>
      <c r="N35" s="16">
        <f>MIN(N33+N34,N12*(1-Assumptions!$C$59))</f>
        <v>0</v>
      </c>
      <c r="O35" s="16">
        <f>MIN(O33+O34,O12*(1-Assumptions!$C$59))</f>
        <v>0</v>
      </c>
      <c r="P35" s="16">
        <f>MIN(P33+P34,P12*(1-Assumptions!$C$59))</f>
        <v>0</v>
      </c>
      <c r="Q35" s="16">
        <f>MIN(Q33+Q34,Q12*(1-Assumptions!$C$59))</f>
        <v>0</v>
      </c>
      <c r="R35" s="16">
        <f>MIN(R33+R34,R12*(1-Assumptions!$C$59))</f>
        <v>0</v>
      </c>
      <c r="S35" s="16">
        <f>MIN(S33+S34,S12*(1-Assumptions!$C$59))</f>
        <v>0</v>
      </c>
      <c r="T35" s="16">
        <f>MIN(T33+T34,T12*(1-Assumptions!$C$59))</f>
        <v>0</v>
      </c>
      <c r="U35" s="16">
        <f>MIN(U33+U34,U12*(1-Assumptions!$C$59))</f>
        <v>0</v>
      </c>
      <c r="V35" s="16">
        <f>MIN(V33+V34,V12*(1-Assumptions!$C$59))</f>
        <v>0</v>
      </c>
      <c r="W35" s="16">
        <f>MIN(W33+W34,W12*(1-Assumptions!$C$59))</f>
        <v>0</v>
      </c>
      <c r="X35" s="16">
        <f>MIN(X33+X34,X12*(1-Assumptions!$C$59))</f>
        <v>0</v>
      </c>
      <c r="Y35" s="16">
        <f>MIN(Y33+Y34,Y12*(1-Assumptions!$C$59))</f>
        <v>0</v>
      </c>
    </row>
    <row r="36" spans="2:25" x14ac:dyDescent="0.3">
      <c r="B36" t="s">
        <v>77</v>
      </c>
      <c r="E36" s="16">
        <f>E33+E34-E35</f>
        <v>0</v>
      </c>
      <c r="F36" s="16">
        <f>F33+F34-F35</f>
        <v>0</v>
      </c>
      <c r="G36" s="16">
        <f t="shared" ref="G36:Y36" si="14">G33+G34-G35</f>
        <v>0</v>
      </c>
      <c r="H36" s="16">
        <f t="shared" si="14"/>
        <v>0</v>
      </c>
      <c r="I36" s="16">
        <f t="shared" si="14"/>
        <v>0</v>
      </c>
      <c r="J36" s="16">
        <f t="shared" si="14"/>
        <v>0</v>
      </c>
      <c r="K36" s="16">
        <f t="shared" si="14"/>
        <v>0</v>
      </c>
      <c r="L36" s="16">
        <f t="shared" si="14"/>
        <v>0</v>
      </c>
      <c r="M36" s="16">
        <f t="shared" si="14"/>
        <v>0</v>
      </c>
      <c r="N36" s="16">
        <f t="shared" si="14"/>
        <v>0</v>
      </c>
      <c r="O36" s="16">
        <f t="shared" si="14"/>
        <v>0</v>
      </c>
      <c r="P36" s="16">
        <f t="shared" si="14"/>
        <v>0</v>
      </c>
      <c r="Q36" s="16">
        <f t="shared" si="14"/>
        <v>0</v>
      </c>
      <c r="R36" s="16">
        <f t="shared" si="14"/>
        <v>0</v>
      </c>
      <c r="S36" s="16">
        <f t="shared" si="14"/>
        <v>0</v>
      </c>
      <c r="T36" s="16">
        <f t="shared" si="14"/>
        <v>0</v>
      </c>
      <c r="U36" s="16">
        <f t="shared" si="14"/>
        <v>0</v>
      </c>
      <c r="V36" s="16">
        <f t="shared" si="14"/>
        <v>0</v>
      </c>
      <c r="W36" s="16">
        <f t="shared" si="14"/>
        <v>0</v>
      </c>
      <c r="X36" s="16">
        <f t="shared" si="14"/>
        <v>0</v>
      </c>
      <c r="Y36" s="16">
        <f t="shared" si="14"/>
        <v>0</v>
      </c>
    </row>
    <row r="38" spans="2:25" x14ac:dyDescent="0.3">
      <c r="B38" t="s">
        <v>78</v>
      </c>
      <c r="E38" s="16">
        <v>0</v>
      </c>
      <c r="F38" s="16">
        <f>E40</f>
        <v>0</v>
      </c>
      <c r="G38" s="16">
        <f>F40</f>
        <v>160000</v>
      </c>
      <c r="H38" s="16">
        <f t="shared" ref="H38:Y38" si="15">G40</f>
        <v>320000</v>
      </c>
      <c r="I38" s="16">
        <f t="shared" si="15"/>
        <v>480000</v>
      </c>
      <c r="J38" s="16">
        <f t="shared" si="15"/>
        <v>640000</v>
      </c>
      <c r="K38" s="16">
        <f t="shared" si="15"/>
        <v>800000</v>
      </c>
      <c r="L38" s="16">
        <f t="shared" si="15"/>
        <v>800000</v>
      </c>
      <c r="M38" s="16">
        <f t="shared" si="15"/>
        <v>800000</v>
      </c>
      <c r="N38" s="16">
        <f t="shared" si="15"/>
        <v>800000</v>
      </c>
      <c r="O38" s="16">
        <f t="shared" si="15"/>
        <v>800000</v>
      </c>
      <c r="P38" s="16">
        <f t="shared" si="15"/>
        <v>800000</v>
      </c>
      <c r="Q38" s="16">
        <f t="shared" si="15"/>
        <v>800000</v>
      </c>
      <c r="R38" s="16">
        <f t="shared" si="15"/>
        <v>800000</v>
      </c>
      <c r="S38" s="16">
        <f t="shared" si="15"/>
        <v>800000</v>
      </c>
      <c r="T38" s="16">
        <f t="shared" si="15"/>
        <v>800000</v>
      </c>
      <c r="U38" s="16">
        <f t="shared" si="15"/>
        <v>800000</v>
      </c>
      <c r="V38" s="16">
        <f t="shared" si="15"/>
        <v>800000</v>
      </c>
      <c r="W38" s="16">
        <f t="shared" si="15"/>
        <v>800000</v>
      </c>
      <c r="X38" s="16">
        <f t="shared" si="15"/>
        <v>800000</v>
      </c>
      <c r="Y38" s="16">
        <f t="shared" si="15"/>
        <v>800000</v>
      </c>
    </row>
    <row r="39" spans="2:25" x14ac:dyDescent="0.3">
      <c r="B39" t="s">
        <v>28</v>
      </c>
      <c r="C39" s="18" t="str">
        <f>Assumptions!C38</f>
        <v>Amt/Year</v>
      </c>
      <c r="E39" s="16">
        <f>E35</f>
        <v>0</v>
      </c>
      <c r="F39" s="16">
        <f t="shared" ref="F39:Y39" si="16">F35</f>
        <v>160000</v>
      </c>
      <c r="G39" s="16">
        <f t="shared" si="16"/>
        <v>160000</v>
      </c>
      <c r="H39" s="16">
        <f t="shared" si="16"/>
        <v>160000</v>
      </c>
      <c r="I39" s="16">
        <f t="shared" si="16"/>
        <v>160000</v>
      </c>
      <c r="J39" s="16">
        <f t="shared" si="16"/>
        <v>160000</v>
      </c>
      <c r="K39" s="16">
        <f t="shared" si="16"/>
        <v>0</v>
      </c>
      <c r="L39" s="16">
        <f t="shared" si="16"/>
        <v>0</v>
      </c>
      <c r="M39" s="16">
        <f t="shared" si="16"/>
        <v>0</v>
      </c>
      <c r="N39" s="16">
        <f t="shared" si="16"/>
        <v>0</v>
      </c>
      <c r="O39" s="16">
        <f t="shared" si="16"/>
        <v>0</v>
      </c>
      <c r="P39" s="16">
        <f t="shared" si="16"/>
        <v>0</v>
      </c>
      <c r="Q39" s="16">
        <f t="shared" si="16"/>
        <v>0</v>
      </c>
      <c r="R39" s="16">
        <f t="shared" si="16"/>
        <v>0</v>
      </c>
      <c r="S39" s="16">
        <f t="shared" si="16"/>
        <v>0</v>
      </c>
      <c r="T39" s="16">
        <f t="shared" si="16"/>
        <v>0</v>
      </c>
      <c r="U39" s="16">
        <f t="shared" si="16"/>
        <v>0</v>
      </c>
      <c r="V39" s="16">
        <f t="shared" si="16"/>
        <v>0</v>
      </c>
      <c r="W39" s="16">
        <f t="shared" si="16"/>
        <v>0</v>
      </c>
      <c r="X39" s="16">
        <f t="shared" si="16"/>
        <v>0</v>
      </c>
      <c r="Y39" s="16">
        <f t="shared" si="16"/>
        <v>0</v>
      </c>
    </row>
    <row r="40" spans="2:25" x14ac:dyDescent="0.3">
      <c r="B40" t="s">
        <v>79</v>
      </c>
      <c r="E40" s="16">
        <f t="shared" ref="E40:Y40" si="17">E38+E39</f>
        <v>0</v>
      </c>
      <c r="F40" s="16">
        <f t="shared" si="17"/>
        <v>160000</v>
      </c>
      <c r="G40" s="16">
        <f t="shared" si="17"/>
        <v>320000</v>
      </c>
      <c r="H40" s="16">
        <f t="shared" si="17"/>
        <v>480000</v>
      </c>
      <c r="I40" s="16">
        <f t="shared" si="17"/>
        <v>640000</v>
      </c>
      <c r="J40" s="16">
        <f t="shared" si="17"/>
        <v>800000</v>
      </c>
      <c r="K40" s="16">
        <f t="shared" si="17"/>
        <v>800000</v>
      </c>
      <c r="L40" s="16">
        <f t="shared" si="17"/>
        <v>800000</v>
      </c>
      <c r="M40" s="16">
        <f t="shared" si="17"/>
        <v>800000</v>
      </c>
      <c r="N40" s="16">
        <f t="shared" si="17"/>
        <v>800000</v>
      </c>
      <c r="O40" s="16">
        <f t="shared" si="17"/>
        <v>800000</v>
      </c>
      <c r="P40" s="16">
        <f t="shared" si="17"/>
        <v>800000</v>
      </c>
      <c r="Q40" s="16">
        <f t="shared" si="17"/>
        <v>800000</v>
      </c>
      <c r="R40" s="16">
        <f t="shared" si="17"/>
        <v>800000</v>
      </c>
      <c r="S40" s="16">
        <f t="shared" si="17"/>
        <v>800000</v>
      </c>
      <c r="T40" s="16">
        <f t="shared" si="17"/>
        <v>800000</v>
      </c>
      <c r="U40" s="16">
        <f t="shared" si="17"/>
        <v>800000</v>
      </c>
      <c r="V40" s="16">
        <f t="shared" si="17"/>
        <v>800000</v>
      </c>
      <c r="W40" s="16">
        <f t="shared" si="17"/>
        <v>800000</v>
      </c>
      <c r="X40" s="16">
        <f t="shared" si="17"/>
        <v>800000</v>
      </c>
      <c r="Y40" s="16">
        <f t="shared" si="17"/>
        <v>800000</v>
      </c>
    </row>
    <row r="42" spans="2:25" x14ac:dyDescent="0.3">
      <c r="B42" t="s">
        <v>24</v>
      </c>
      <c r="E42" s="16">
        <v>0</v>
      </c>
      <c r="F42" s="16">
        <f>E46</f>
        <v>0</v>
      </c>
      <c r="G42" s="16">
        <f>F46</f>
        <v>240000</v>
      </c>
      <c r="H42" s="16">
        <f t="shared" ref="H42:Y42" si="18">G46</f>
        <v>491430</v>
      </c>
      <c r="I42" s="16">
        <f t="shared" si="18"/>
        <v>756094.05</v>
      </c>
      <c r="J42" s="16">
        <f t="shared" si="18"/>
        <v>1035836.02725</v>
      </c>
      <c r="K42" s="16">
        <f t="shared" si="18"/>
        <v>1332541.08359625</v>
      </c>
      <c r="L42" s="16">
        <f t="shared" si="18"/>
        <v>1408137.1326505314</v>
      </c>
      <c r="M42" s="16">
        <f t="shared" si="18"/>
        <v>1493166.3780320731</v>
      </c>
      <c r="N42" s="16">
        <f t="shared" si="18"/>
        <v>1587842.8339683777</v>
      </c>
      <c r="O42" s="16">
        <f t="shared" si="18"/>
        <v>1692388.16232901</v>
      </c>
      <c r="P42" s="16">
        <f t="shared" si="18"/>
        <v>1807031.8846090822</v>
      </c>
      <c r="Q42" s="16">
        <f t="shared" si="18"/>
        <v>1959006.0245813348</v>
      </c>
      <c r="R42" s="16">
        <f t="shared" si="18"/>
        <v>2119537.4797954615</v>
      </c>
      <c r="S42" s="16">
        <f t="shared" si="18"/>
        <v>2263637.5511322715</v>
      </c>
      <c r="T42" s="16">
        <f t="shared" si="18"/>
        <v>2452654.8281068089</v>
      </c>
      <c r="U42" s="16">
        <f t="shared" si="18"/>
        <v>2623973.4866806404</v>
      </c>
      <c r="V42" s="16">
        <f t="shared" si="18"/>
        <v>2849057.3446790655</v>
      </c>
      <c r="W42" s="16">
        <f t="shared" si="18"/>
        <v>3056432.9182770518</v>
      </c>
      <c r="X42" s="16">
        <f t="shared" si="18"/>
        <v>3330362.9625611934</v>
      </c>
      <c r="Y42" s="16">
        <f t="shared" si="18"/>
        <v>3583922.2508754195</v>
      </c>
    </row>
    <row r="43" spans="2:25" x14ac:dyDescent="0.3">
      <c r="B43" t="s">
        <v>27</v>
      </c>
      <c r="E43" s="16">
        <f>Assumptions!C53</f>
        <v>1200000</v>
      </c>
      <c r="F43" s="16">
        <f>E43-E44</f>
        <v>1200000</v>
      </c>
      <c r="G43" s="16">
        <f>F43-F44</f>
        <v>960000</v>
      </c>
      <c r="H43" s="16">
        <f t="shared" ref="H43:Y43" si="19">G43-G44</f>
        <v>720000</v>
      </c>
      <c r="I43" s="16">
        <f t="shared" si="19"/>
        <v>480000</v>
      </c>
      <c r="J43" s="16">
        <f t="shared" si="19"/>
        <v>240000</v>
      </c>
      <c r="K43" s="16">
        <f t="shared" si="19"/>
        <v>0</v>
      </c>
      <c r="L43" s="16">
        <f t="shared" si="19"/>
        <v>0</v>
      </c>
      <c r="M43" s="16">
        <f t="shared" si="19"/>
        <v>0</v>
      </c>
      <c r="N43" s="16">
        <f t="shared" si="19"/>
        <v>0</v>
      </c>
      <c r="O43" s="16">
        <f t="shared" si="19"/>
        <v>0</v>
      </c>
      <c r="P43" s="16">
        <f t="shared" si="19"/>
        <v>0</v>
      </c>
      <c r="Q43" s="16">
        <f t="shared" si="19"/>
        <v>0</v>
      </c>
      <c r="R43" s="16">
        <f t="shared" si="19"/>
        <v>0</v>
      </c>
      <c r="S43" s="16">
        <f t="shared" si="19"/>
        <v>0</v>
      </c>
      <c r="T43" s="16">
        <f t="shared" si="19"/>
        <v>0</v>
      </c>
      <c r="U43" s="16">
        <f t="shared" si="19"/>
        <v>0</v>
      </c>
      <c r="V43" s="16">
        <f t="shared" si="19"/>
        <v>0</v>
      </c>
      <c r="W43" s="16">
        <f t="shared" si="19"/>
        <v>0</v>
      </c>
      <c r="X43" s="16">
        <f t="shared" si="19"/>
        <v>0</v>
      </c>
      <c r="Y43" s="16">
        <f t="shared" si="19"/>
        <v>0</v>
      </c>
    </row>
    <row r="44" spans="2:25" x14ac:dyDescent="0.3">
      <c r="B44" t="s">
        <v>29</v>
      </c>
      <c r="C44" s="18">
        <f>Assumptions!C55</f>
        <v>0.6</v>
      </c>
      <c r="E44" s="16">
        <v>0</v>
      </c>
      <c r="F44" s="16">
        <f>MIN(F43,F12-F35-F50)</f>
        <v>240000</v>
      </c>
      <c r="G44" s="16">
        <f t="shared" ref="G44:Y44" si="20">MIN(G43,G12-G35-G50)</f>
        <v>240000</v>
      </c>
      <c r="H44" s="16">
        <f t="shared" si="20"/>
        <v>240000</v>
      </c>
      <c r="I44" s="16">
        <f t="shared" si="20"/>
        <v>240000</v>
      </c>
      <c r="J44" s="16">
        <f t="shared" si="20"/>
        <v>240000</v>
      </c>
      <c r="K44" s="16">
        <f t="shared" si="20"/>
        <v>0</v>
      </c>
      <c r="L44" s="16">
        <f t="shared" si="20"/>
        <v>0</v>
      </c>
      <c r="M44" s="16">
        <f t="shared" si="20"/>
        <v>0</v>
      </c>
      <c r="N44" s="16">
        <f t="shared" si="20"/>
        <v>0</v>
      </c>
      <c r="O44" s="16">
        <f t="shared" si="20"/>
        <v>0</v>
      </c>
      <c r="P44" s="16">
        <f t="shared" si="20"/>
        <v>0</v>
      </c>
      <c r="Q44" s="16">
        <f t="shared" si="20"/>
        <v>0</v>
      </c>
      <c r="R44" s="16">
        <f t="shared" si="20"/>
        <v>0</v>
      </c>
      <c r="S44" s="16">
        <f t="shared" si="20"/>
        <v>0</v>
      </c>
      <c r="T44" s="16">
        <f t="shared" si="20"/>
        <v>0</v>
      </c>
      <c r="U44" s="16">
        <f t="shared" si="20"/>
        <v>0</v>
      </c>
      <c r="V44" s="16">
        <f t="shared" si="20"/>
        <v>0</v>
      </c>
      <c r="W44" s="16">
        <f t="shared" si="20"/>
        <v>0</v>
      </c>
      <c r="X44" s="16">
        <f t="shared" si="20"/>
        <v>0</v>
      </c>
      <c r="Y44" s="16">
        <f t="shared" si="20"/>
        <v>0</v>
      </c>
    </row>
    <row r="45" spans="2:25" x14ac:dyDescent="0.3">
      <c r="B45" t="s">
        <v>92</v>
      </c>
      <c r="C45" s="18"/>
      <c r="E45" s="16">
        <f>-E66</f>
        <v>0</v>
      </c>
      <c r="F45" s="16">
        <f t="shared" ref="F45:Y45" si="21">-F66</f>
        <v>0</v>
      </c>
      <c r="G45" s="16">
        <f t="shared" si="21"/>
        <v>11430.000000000005</v>
      </c>
      <c r="H45" s="16">
        <f t="shared" si="21"/>
        <v>24664.050000000007</v>
      </c>
      <c r="I45" s="16">
        <f t="shared" si="21"/>
        <v>39741.977250000011</v>
      </c>
      <c r="J45" s="16">
        <f t="shared" si="21"/>
        <v>56705.056346250014</v>
      </c>
      <c r="K45" s="16">
        <f t="shared" si="21"/>
        <v>75596.049054281277</v>
      </c>
      <c r="L45" s="16">
        <f t="shared" si="21"/>
        <v>85029.245381541696</v>
      </c>
      <c r="M45" s="16">
        <f t="shared" si="21"/>
        <v>94676.455936304614</v>
      </c>
      <c r="N45" s="16">
        <f t="shared" si="21"/>
        <v>104545.32836063237</v>
      </c>
      <c r="O45" s="16">
        <f t="shared" si="21"/>
        <v>114643.72228007218</v>
      </c>
      <c r="P45" s="16">
        <f t="shared" si="21"/>
        <v>151974.13997225245</v>
      </c>
      <c r="Q45" s="16">
        <f t="shared" si="21"/>
        <v>160531.45521412697</v>
      </c>
      <c r="R45" s="16">
        <f t="shared" si="21"/>
        <v>144100.07133680998</v>
      </c>
      <c r="S45" s="16">
        <f t="shared" si="21"/>
        <v>189017.27697453747</v>
      </c>
      <c r="T45" s="16">
        <f t="shared" si="21"/>
        <v>171318.65857383126</v>
      </c>
      <c r="U45" s="16">
        <f t="shared" si="21"/>
        <v>225083.85799842505</v>
      </c>
      <c r="V45" s="16">
        <f t="shared" si="21"/>
        <v>207375.57359798616</v>
      </c>
      <c r="W45" s="16">
        <f t="shared" si="21"/>
        <v>273930.04428414145</v>
      </c>
      <c r="X45" s="16">
        <f t="shared" si="21"/>
        <v>253559.28831422603</v>
      </c>
      <c r="Y45" s="16">
        <f t="shared" si="21"/>
        <v>285407.70066175616</v>
      </c>
    </row>
    <row r="46" spans="2:25" x14ac:dyDescent="0.3">
      <c r="B46" t="s">
        <v>25</v>
      </c>
      <c r="E46" s="16">
        <f>E42+E44+E45</f>
        <v>0</v>
      </c>
      <c r="F46" s="16">
        <f t="shared" ref="F46:Y46" si="22">F42+F44+F45</f>
        <v>240000</v>
      </c>
      <c r="G46" s="16">
        <f t="shared" si="22"/>
        <v>491430</v>
      </c>
      <c r="H46" s="16">
        <f t="shared" si="22"/>
        <v>756094.05</v>
      </c>
      <c r="I46" s="16">
        <f t="shared" si="22"/>
        <v>1035836.02725</v>
      </c>
      <c r="J46" s="16">
        <f t="shared" si="22"/>
        <v>1332541.08359625</v>
      </c>
      <c r="K46" s="16">
        <f t="shared" si="22"/>
        <v>1408137.1326505314</v>
      </c>
      <c r="L46" s="16">
        <f t="shared" si="22"/>
        <v>1493166.3780320731</v>
      </c>
      <c r="M46" s="16">
        <f t="shared" si="22"/>
        <v>1587842.8339683777</v>
      </c>
      <c r="N46" s="16">
        <f t="shared" si="22"/>
        <v>1692388.16232901</v>
      </c>
      <c r="O46" s="16">
        <f t="shared" si="22"/>
        <v>1807031.8846090822</v>
      </c>
      <c r="P46" s="16">
        <f t="shared" si="22"/>
        <v>1959006.0245813348</v>
      </c>
      <c r="Q46" s="16">
        <f t="shared" si="22"/>
        <v>2119537.4797954615</v>
      </c>
      <c r="R46" s="16">
        <f t="shared" si="22"/>
        <v>2263637.5511322715</v>
      </c>
      <c r="S46" s="16">
        <f t="shared" si="22"/>
        <v>2452654.8281068089</v>
      </c>
      <c r="T46" s="16">
        <f t="shared" si="22"/>
        <v>2623973.4866806404</v>
      </c>
      <c r="U46" s="16">
        <f t="shared" si="22"/>
        <v>2849057.3446790655</v>
      </c>
      <c r="V46" s="16">
        <f t="shared" si="22"/>
        <v>3056432.9182770518</v>
      </c>
      <c r="W46" s="16">
        <f t="shared" si="22"/>
        <v>3330362.9625611934</v>
      </c>
      <c r="X46" s="16">
        <f t="shared" si="22"/>
        <v>3583922.2508754195</v>
      </c>
      <c r="Y46" s="16">
        <f t="shared" si="22"/>
        <v>3869329.9515371756</v>
      </c>
    </row>
    <row r="48" spans="2:25" x14ac:dyDescent="0.3">
      <c r="B48" t="s">
        <v>30</v>
      </c>
      <c r="E48" s="16">
        <v>0</v>
      </c>
      <c r="F48" s="16">
        <f>E53</f>
        <v>0</v>
      </c>
      <c r="G48" s="16">
        <f>F53</f>
        <v>1600000.0000000005</v>
      </c>
      <c r="H48" s="16">
        <f t="shared" ref="H48:Y48" si="23">G53</f>
        <v>3176000.0000000009</v>
      </c>
      <c r="I48" s="16">
        <f t="shared" si="23"/>
        <v>4728360.0000000019</v>
      </c>
      <c r="J48" s="16">
        <f t="shared" si="23"/>
        <v>6257434.6000000015</v>
      </c>
      <c r="K48" s="16">
        <f t="shared" si="23"/>
        <v>7763573.0810000012</v>
      </c>
      <c r="L48" s="16">
        <f t="shared" si="23"/>
        <v>7647119.4847850008</v>
      </c>
      <c r="M48" s="16">
        <f t="shared" si="23"/>
        <v>7532412.6925132256</v>
      </c>
      <c r="N48" s="16">
        <f t="shared" si="23"/>
        <v>7419426.5021255268</v>
      </c>
      <c r="O48" s="16">
        <f t="shared" si="23"/>
        <v>7308135.1045936439</v>
      </c>
      <c r="P48" s="16">
        <f t="shared" si="23"/>
        <v>7198513.0780247394</v>
      </c>
      <c r="Q48" s="16">
        <f t="shared" si="23"/>
        <v>7198513.0780247394</v>
      </c>
      <c r="R48" s="16">
        <f t="shared" si="23"/>
        <v>8749199.1864834614</v>
      </c>
      <c r="S48" s="16">
        <f t="shared" si="23"/>
        <v>8617961.1986862086</v>
      </c>
      <c r="T48" s="16">
        <f t="shared" si="23"/>
        <v>10478790.660947086</v>
      </c>
      <c r="U48" s="16">
        <f t="shared" si="23"/>
        <v>10321608.80103288</v>
      </c>
      <c r="V48" s="16">
        <f t="shared" si="23"/>
        <v>13001074.114161106</v>
      </c>
      <c r="W48" s="16">
        <f t="shared" si="23"/>
        <v>12806058.002448689</v>
      </c>
      <c r="X48" s="16">
        <f t="shared" si="23"/>
        <v>15903138.504032373</v>
      </c>
      <c r="Y48" s="16">
        <f t="shared" si="23"/>
        <v>17097329.185578413</v>
      </c>
    </row>
    <row r="49" spans="2:25" x14ac:dyDescent="0.3">
      <c r="B49" t="s">
        <v>80</v>
      </c>
      <c r="E49" s="16">
        <f>(E33+E34+MIN(E43,(E33+E34)/(1-Assumptions!$C$55)))/((1-Assumptions!$C$59)/Assumptions!$C$59)</f>
        <v>0</v>
      </c>
      <c r="F49" s="16">
        <f>(F33+F34+MIN(F43,(F33+F34)*(Assumptions!$C$55/(1-Assumptions!$C$55))))/((1-Assumptions!$C$59)/Assumptions!$C$59)</f>
        <v>1600000.0000000005</v>
      </c>
      <c r="G49" s="16">
        <f>(G33+G34+MIN(G43,(G33+G34)*(Assumptions!$C$55/(1-Assumptions!$C$55))))/((1-Assumptions!$C$59)/Assumptions!$C$59)</f>
        <v>1600000.0000000005</v>
      </c>
      <c r="H49" s="16">
        <f>(H33+H34+MIN(H43,(H33+H34)*(Assumptions!$C$55/(1-Assumptions!$C$55))))/((1-Assumptions!$C$59)/Assumptions!$C$59)</f>
        <v>1600000.0000000005</v>
      </c>
      <c r="I49" s="16">
        <f>(I33+I34+MIN(I43,(I33+I34)*(Assumptions!$C$55/(1-Assumptions!$C$55))))/((1-Assumptions!$C$59)/Assumptions!$C$59)</f>
        <v>1600000.0000000005</v>
      </c>
      <c r="J49" s="16">
        <f>(J33+J34+MIN(J43,(J33+J34)*(Assumptions!$C$55/(1-Assumptions!$C$55))))/((1-Assumptions!$C$59)/Assumptions!$C$59)</f>
        <v>1600000.0000000005</v>
      </c>
      <c r="K49" s="16">
        <f>(K33+K34+MIN(K43,(K33+K34)*(Assumptions!$C$55/(1-Assumptions!$C$55))))/((1-Assumptions!$C$59)/Assumptions!$C$59)</f>
        <v>0</v>
      </c>
      <c r="L49" s="16">
        <f>(L33+L34+MIN(L43,(L33+L34)*(Assumptions!$C$55/(1-Assumptions!$C$55))))/((1-Assumptions!$C$59)/Assumptions!$C$59)</f>
        <v>0</v>
      </c>
      <c r="M49" s="16">
        <f>(M33+M34+MIN(M43,(M33+M34)*(Assumptions!$C$55/(1-Assumptions!$C$55))))/((1-Assumptions!$C$59)/Assumptions!$C$59)</f>
        <v>0</v>
      </c>
      <c r="N49" s="16">
        <f>(N33+N34+MIN(N43,(N33+N34)*(Assumptions!$C$55/(1-Assumptions!$C$55))))/((1-Assumptions!$C$59)/Assumptions!$C$59)</f>
        <v>0</v>
      </c>
      <c r="O49" s="16">
        <f>(O33+O34+MIN(O43,(O33+O34)*(Assumptions!$C$55/(1-Assumptions!$C$55))))/((1-Assumptions!$C$59)/Assumptions!$C$59)</f>
        <v>0</v>
      </c>
      <c r="P49" s="16">
        <f>(P33+P34+MIN(P43,(P33+P34)*(Assumptions!$C$55/(1-Assumptions!$C$55))))/((1-Assumptions!$C$59)/Assumptions!$C$59)</f>
        <v>0</v>
      </c>
      <c r="Q49" s="16">
        <f>(Q33+Q34+MIN(Q43,(Q33+Q34)*(Assumptions!$C$55/(1-Assumptions!$C$55))))/((1-Assumptions!$C$59)/Assumptions!$C$59)</f>
        <v>0</v>
      </c>
      <c r="R49" s="16">
        <f>(R33+R34+MIN(R43,(R33+R34)*(Assumptions!$C$55/(1-Assumptions!$C$55))))/((1-Assumptions!$C$59)/Assumptions!$C$59)</f>
        <v>0</v>
      </c>
      <c r="S49" s="16">
        <f>(S33+S34+MIN(S43,(S33+S34)*(Assumptions!$C$55/(1-Assumptions!$C$55))))/((1-Assumptions!$C$59)/Assumptions!$C$59)</f>
        <v>0</v>
      </c>
      <c r="T49" s="16">
        <f>(T33+T34+MIN(T43,(T33+T34)*(Assumptions!$C$55/(1-Assumptions!$C$55))))/((1-Assumptions!$C$59)/Assumptions!$C$59)</f>
        <v>0</v>
      </c>
      <c r="U49" s="16">
        <f>(U33+U34+MIN(U43,(U33+U34)*(Assumptions!$C$55/(1-Assumptions!$C$55))))/((1-Assumptions!$C$59)/Assumptions!$C$59)</f>
        <v>0</v>
      </c>
      <c r="V49" s="16">
        <f>(V33+V34+MIN(V43,(V33+V34)*(Assumptions!$C$55/(1-Assumptions!$C$55))))/((1-Assumptions!$C$59)/Assumptions!$C$59)</f>
        <v>0</v>
      </c>
      <c r="W49" s="16">
        <f>(W33+W34+MIN(W43,(W33+W34)*(Assumptions!$C$55/(1-Assumptions!$C$55))))/((1-Assumptions!$C$59)/Assumptions!$C$59)</f>
        <v>0</v>
      </c>
      <c r="X49" s="16">
        <f>(X33+X34+MIN(X43,(X33+X34)*(Assumptions!$C$55/(1-Assumptions!$C$55))))/((1-Assumptions!$C$59)/Assumptions!$C$59)</f>
        <v>0</v>
      </c>
      <c r="Y49" s="16">
        <f>(Y33+Y34+MIN(Y43,(Y33+Y34)*(Assumptions!$C$55/(1-Assumptions!$C$55))))/((1-Assumptions!$C$59)/Assumptions!$C$59)</f>
        <v>0</v>
      </c>
    </row>
    <row r="50" spans="2:25" x14ac:dyDescent="0.3">
      <c r="B50" t="s">
        <v>83</v>
      </c>
      <c r="C50" s="18">
        <f>Assumptions!C59</f>
        <v>0.8</v>
      </c>
      <c r="E50" s="16">
        <f>E12*Assumptions!$C$59</f>
        <v>0</v>
      </c>
      <c r="F50" s="16">
        <f>F12*Assumptions!$C$59</f>
        <v>1600000.0000000005</v>
      </c>
      <c r="G50" s="16">
        <f>G12*Assumptions!$C$59</f>
        <v>1600000.0000000005</v>
      </c>
      <c r="H50" s="16">
        <f>H12*Assumptions!$C$59</f>
        <v>1600000.0000000005</v>
      </c>
      <c r="I50" s="16">
        <f>I12*Assumptions!$C$59</f>
        <v>1600000.0000000005</v>
      </c>
      <c r="J50" s="16">
        <f>J12*Assumptions!$C$59</f>
        <v>1600000.0000000005</v>
      </c>
      <c r="K50" s="16">
        <f>K12*Assumptions!$C$59</f>
        <v>0</v>
      </c>
      <c r="L50" s="16">
        <f>L12*Assumptions!$C$59</f>
        <v>0</v>
      </c>
      <c r="M50" s="16">
        <f>M12*Assumptions!$C$59</f>
        <v>0</v>
      </c>
      <c r="N50" s="16">
        <f>N12*Assumptions!$C$59</f>
        <v>0</v>
      </c>
      <c r="O50" s="16">
        <f>O12*Assumptions!$C$59</f>
        <v>0</v>
      </c>
      <c r="P50" s="16">
        <f>P12*Assumptions!$C$59</f>
        <v>0</v>
      </c>
      <c r="Q50" s="16">
        <f>Q12*Assumptions!$C$59</f>
        <v>1240548.8867669778</v>
      </c>
      <c r="R50" s="16">
        <f>R12*Assumptions!$C$59</f>
        <v>0</v>
      </c>
      <c r="S50" s="16">
        <f>S12*Assumptions!$C$59</f>
        <v>1566962.261663696</v>
      </c>
      <c r="T50" s="16">
        <f>T12*Assumptions!$C$59</f>
        <v>0</v>
      </c>
      <c r="U50" s="16">
        <f>U12*Assumptions!$C$59</f>
        <v>2351728.4042075356</v>
      </c>
      <c r="V50" s="16">
        <f>V12*Assumptions!$C$59</f>
        <v>0</v>
      </c>
      <c r="W50" s="16">
        <f>W12*Assumptions!$C$59</f>
        <v>2812087.3950288878</v>
      </c>
      <c r="X50" s="16">
        <f>X12*Assumptions!$C$59</f>
        <v>1432737.7591065224</v>
      </c>
      <c r="Y50" s="16">
        <f>Y12*Assumptions!$C$59</f>
        <v>0</v>
      </c>
    </row>
    <row r="51" spans="2:25" x14ac:dyDescent="0.3">
      <c r="B51" t="s">
        <v>90</v>
      </c>
      <c r="C51" s="18"/>
      <c r="E51" s="16">
        <f>MIN(D55,E12-E80)</f>
        <v>0</v>
      </c>
      <c r="F51" s="16">
        <f t="shared" ref="F51:Y51" si="24">MIN(E55,F12-F80)</f>
        <v>0</v>
      </c>
      <c r="G51" s="16">
        <f t="shared" si="24"/>
        <v>0</v>
      </c>
      <c r="H51" s="16">
        <f t="shared" si="24"/>
        <v>0</v>
      </c>
      <c r="I51" s="16">
        <f t="shared" si="24"/>
        <v>0</v>
      </c>
      <c r="J51" s="16">
        <f t="shared" si="24"/>
        <v>0</v>
      </c>
      <c r="K51" s="16">
        <f t="shared" si="24"/>
        <v>0</v>
      </c>
      <c r="L51" s="16">
        <f t="shared" si="24"/>
        <v>0</v>
      </c>
      <c r="M51" s="16">
        <f t="shared" si="24"/>
        <v>0</v>
      </c>
      <c r="N51" s="16">
        <f t="shared" si="24"/>
        <v>0</v>
      </c>
      <c r="O51" s="16">
        <f t="shared" si="24"/>
        <v>0</v>
      </c>
      <c r="P51" s="16">
        <f>MIN(O55,P12-P80-P50)</f>
        <v>0</v>
      </c>
      <c r="Q51" s="16">
        <f t="shared" si="24"/>
        <v>310137.2216917444</v>
      </c>
      <c r="R51" s="16">
        <f t="shared" si="24"/>
        <v>0</v>
      </c>
      <c r="S51" s="16">
        <f t="shared" si="24"/>
        <v>293867.20059718192</v>
      </c>
      <c r="T51" s="16">
        <f t="shared" si="24"/>
        <v>0</v>
      </c>
      <c r="U51" s="16">
        <f t="shared" si="24"/>
        <v>327736.90892069042</v>
      </c>
      <c r="V51" s="16">
        <f t="shared" si="24"/>
        <v>0</v>
      </c>
      <c r="W51" s="16">
        <f t="shared" si="24"/>
        <v>284993.10655479692</v>
      </c>
      <c r="X51" s="16">
        <f t="shared" si="24"/>
        <v>0</v>
      </c>
      <c r="Y51" s="16">
        <f t="shared" si="24"/>
        <v>0</v>
      </c>
    </row>
    <row r="52" spans="2:25" x14ac:dyDescent="0.3">
      <c r="B52" t="s">
        <v>82</v>
      </c>
      <c r="C52" s="18"/>
      <c r="E52" s="16">
        <f>IF(D54&gt;Assumptions!$C$60,Assumptions!$C$62*Model!E48,0)</f>
        <v>0</v>
      </c>
      <c r="F52" s="16">
        <f>IF(E54&gt;Assumptions!$C$60,Assumptions!$C$62*Model!F48,0)</f>
        <v>0</v>
      </c>
      <c r="G52" s="16">
        <f>IF(F54&gt;Assumptions!$C$60,Assumptions!$C$62*Model!G48,0)</f>
        <v>24000.000000000007</v>
      </c>
      <c r="H52" s="16">
        <f>IF(G54&gt;Assumptions!$C$60,Assumptions!$C$62*Model!H48,0)</f>
        <v>47640.000000000015</v>
      </c>
      <c r="I52" s="16">
        <f>IF(H54&gt;Assumptions!$C$60,Assumptions!$C$62*Model!I48,0)</f>
        <v>70925.400000000023</v>
      </c>
      <c r="J52" s="16">
        <f>IF(I54&gt;Assumptions!$C$60,Assumptions!$C$62*Model!J48,0)</f>
        <v>93861.519000000015</v>
      </c>
      <c r="K52" s="16">
        <f>IF(J54&gt;Assumptions!$C$60,Assumptions!$C$62*Model!K48,0)</f>
        <v>116453.59621500001</v>
      </c>
      <c r="L52" s="16">
        <f>IF(K54&gt;Assumptions!$C$60,Assumptions!$C$62*Model!L48,0)</f>
        <v>114706.792271775</v>
      </c>
      <c r="M52" s="16">
        <f>IF(L54&gt;Assumptions!$C$60,Assumptions!$C$62*Model!M48,0)</f>
        <v>112986.19038769839</v>
      </c>
      <c r="N52" s="16">
        <f>IF(M54&gt;Assumptions!$C$60,Assumptions!$C$62*Model!N48,0)</f>
        <v>111291.3975318829</v>
      </c>
      <c r="O52" s="16">
        <f>IF(N54&gt;Assumptions!$C$60,Assumptions!$C$62*Model!O48,0)</f>
        <v>109622.02656890465</v>
      </c>
      <c r="P52" s="16">
        <f>IF(O54&gt;Assumptions!$C$60,Assumptions!$C$62*Model!P48,0)</f>
        <v>0</v>
      </c>
      <c r="Q52" s="16">
        <f>IF(P54&gt;Assumptions!$C$60,Assumptions!$C$62*Model!Q48,0)</f>
        <v>0</v>
      </c>
      <c r="R52" s="16">
        <f>IF(Q54&gt;Assumptions!$C$60,Assumptions!$C$62*Model!R48,0)</f>
        <v>131237.9877972519</v>
      </c>
      <c r="S52" s="16">
        <f>IF(R54&gt;Assumptions!$C$60,Assumptions!$C$62*Model!S48,0)</f>
        <v>0</v>
      </c>
      <c r="T52" s="16">
        <f>IF(S54&gt;Assumptions!$C$60,Assumptions!$C$62*Model!T48,0)</f>
        <v>157181.85991420629</v>
      </c>
      <c r="U52" s="16">
        <f>IF(T54&gt;Assumptions!$C$60,Assumptions!$C$62*Model!U48,0)</f>
        <v>0</v>
      </c>
      <c r="V52" s="16">
        <f>IF(U54&gt;Assumptions!$C$60,Assumptions!$C$62*Model!V48,0)</f>
        <v>195016.11171241658</v>
      </c>
      <c r="W52" s="16">
        <f>IF(V54&gt;Assumptions!$C$60,Assumptions!$C$62*Model!W48,0)</f>
        <v>0</v>
      </c>
      <c r="X52" s="16">
        <f>IF(W54&gt;Assumptions!$C$60,Assumptions!$C$62*Model!X48,0)</f>
        <v>238547.0775604856</v>
      </c>
      <c r="Y52" s="16">
        <f>IF(X54&gt;Assumptions!$C$60,Assumptions!$C$62*Model!Y48,0)</f>
        <v>256459.9377836762</v>
      </c>
    </row>
    <row r="53" spans="2:25" x14ac:dyDescent="0.3">
      <c r="B53" t="s">
        <v>31</v>
      </c>
      <c r="E53" s="16">
        <f>E48+E50-E52+E51</f>
        <v>0</v>
      </c>
      <c r="F53" s="16">
        <f t="shared" ref="F53:Y53" si="25">F48+F50-F52+F51</f>
        <v>1600000.0000000005</v>
      </c>
      <c r="G53" s="16">
        <f t="shared" si="25"/>
        <v>3176000.0000000009</v>
      </c>
      <c r="H53" s="16">
        <f t="shared" si="25"/>
        <v>4728360.0000000019</v>
      </c>
      <c r="I53" s="16">
        <f t="shared" si="25"/>
        <v>6257434.6000000015</v>
      </c>
      <c r="J53" s="16">
        <f t="shared" si="25"/>
        <v>7763573.0810000012</v>
      </c>
      <c r="K53" s="16">
        <f t="shared" si="25"/>
        <v>7647119.4847850008</v>
      </c>
      <c r="L53" s="16">
        <f t="shared" si="25"/>
        <v>7532412.6925132256</v>
      </c>
      <c r="M53" s="16">
        <f t="shared" si="25"/>
        <v>7419426.5021255268</v>
      </c>
      <c r="N53" s="16">
        <f t="shared" si="25"/>
        <v>7308135.1045936439</v>
      </c>
      <c r="O53" s="16">
        <f t="shared" si="25"/>
        <v>7198513.0780247394</v>
      </c>
      <c r="P53" s="16">
        <f t="shared" si="25"/>
        <v>7198513.0780247394</v>
      </c>
      <c r="Q53" s="16">
        <f t="shared" si="25"/>
        <v>8749199.1864834614</v>
      </c>
      <c r="R53" s="16">
        <f t="shared" si="25"/>
        <v>8617961.1986862086</v>
      </c>
      <c r="S53" s="16">
        <f t="shared" si="25"/>
        <v>10478790.660947086</v>
      </c>
      <c r="T53" s="16">
        <f t="shared" si="25"/>
        <v>10321608.80103288</v>
      </c>
      <c r="U53" s="16">
        <f t="shared" si="25"/>
        <v>13001074.114161106</v>
      </c>
      <c r="V53" s="16">
        <f t="shared" si="25"/>
        <v>12806058.002448689</v>
      </c>
      <c r="W53" s="16">
        <f t="shared" si="25"/>
        <v>15903138.504032373</v>
      </c>
      <c r="X53" s="16">
        <f t="shared" si="25"/>
        <v>17097329.185578413</v>
      </c>
      <c r="Y53" s="16">
        <f t="shared" si="25"/>
        <v>16840869.247794736</v>
      </c>
    </row>
    <row r="54" spans="2:25" x14ac:dyDescent="0.3">
      <c r="B54" s="21" t="s">
        <v>40</v>
      </c>
      <c r="F54" s="11">
        <f t="shared" ref="F54:Y54" si="26">IFERROR(F53/F27,"")</f>
        <v>0.87804878048780488</v>
      </c>
      <c r="G54" s="11">
        <f t="shared" si="26"/>
        <v>0.85858464495975007</v>
      </c>
      <c r="H54" s="11">
        <f t="shared" si="26"/>
        <v>0.83950684503447981</v>
      </c>
      <c r="I54" s="11">
        <f t="shared" si="26"/>
        <v>0.82080883697211104</v>
      </c>
      <c r="J54" s="11">
        <f t="shared" si="26"/>
        <v>0.80248416596824634</v>
      </c>
      <c r="K54" s="11">
        <f t="shared" si="26"/>
        <v>0.76742417813468211</v>
      </c>
      <c r="L54" s="11">
        <f t="shared" si="26"/>
        <v>0.73389593734239011</v>
      </c>
      <c r="M54" s="11">
        <f t="shared" si="26"/>
        <v>0.7018325226041302</v>
      </c>
      <c r="N54" s="11">
        <f t="shared" si="26"/>
        <v>0.67116993666511482</v>
      </c>
      <c r="O54" s="11">
        <f t="shared" si="26"/>
        <v>0.64184697826712445</v>
      </c>
      <c r="P54" s="11">
        <f t="shared" si="26"/>
        <v>0.62315240608458689</v>
      </c>
      <c r="Q54" s="11">
        <f t="shared" si="26"/>
        <v>0.65728250061701077</v>
      </c>
      <c r="R54" s="11">
        <f t="shared" si="26"/>
        <v>0.62856627486189842</v>
      </c>
      <c r="S54" s="11">
        <f t="shared" si="26"/>
        <v>0.65877759428420901</v>
      </c>
      <c r="T54" s="11">
        <f t="shared" si="26"/>
        <v>0.62999604890285998</v>
      </c>
      <c r="U54" s="11">
        <f t="shared" si="26"/>
        <v>0.66489841395886506</v>
      </c>
      <c r="V54" s="11">
        <f t="shared" si="26"/>
        <v>0.63584945412571081</v>
      </c>
      <c r="W54" s="11">
        <f t="shared" si="26"/>
        <v>0.66409909196590888</v>
      </c>
      <c r="X54" s="11">
        <f t="shared" si="26"/>
        <v>0.65016091363486439</v>
      </c>
      <c r="Y54" s="11">
        <f t="shared" si="26"/>
        <v>0.62175582517508876</v>
      </c>
    </row>
    <row r="55" spans="2:25" x14ac:dyDescent="0.3">
      <c r="B55" s="21" t="s">
        <v>89</v>
      </c>
      <c r="D55">
        <v>0</v>
      </c>
      <c r="E55" s="16">
        <v>0</v>
      </c>
      <c r="F55" s="11">
        <v>0</v>
      </c>
      <c r="G55" s="22">
        <f>MAX(0,Model!G27*Assumptions!$C$60-Model!G53)</f>
        <v>0</v>
      </c>
      <c r="H55" s="22">
        <f>MAX(0,Model!H27*Assumptions!$C$60-Model!H53)</f>
        <v>0</v>
      </c>
      <c r="I55" s="22">
        <f>MAX(0,Model!I27*Assumptions!$C$60-Model!I53)</f>
        <v>0</v>
      </c>
      <c r="J55" s="22">
        <f>MAX(0,Model!J27*Assumptions!$C$60-Model!J53)</f>
        <v>0</v>
      </c>
      <c r="K55" s="22">
        <f>MAX(0,Model!K27*Assumptions!$C$60-Model!K53)</f>
        <v>0</v>
      </c>
      <c r="L55" s="22">
        <f>MAX(0,Model!L27*Assumptions!$C$60-Model!L53)</f>
        <v>0</v>
      </c>
      <c r="M55" s="22">
        <f>MAX(0,Model!M27*Assumptions!$C$60-Model!M53)</f>
        <v>0</v>
      </c>
      <c r="N55" s="22">
        <f>MAX(0,Model!N27*Assumptions!$C$60-Model!N53)</f>
        <v>0</v>
      </c>
      <c r="O55" s="22">
        <f>MAX(0,Model!O27*Assumptions!$C$60-Model!O53)</f>
        <v>91438.669272817671</v>
      </c>
      <c r="P55" s="22">
        <f>MAX(0,Model!P27*Assumptions!$C$60-Model!P53)</f>
        <v>310137.2216917444</v>
      </c>
      <c r="Q55" s="22">
        <f>MAX(0,Model!Q27*Assumptions!$C$60-Model!Q53)</f>
        <v>0</v>
      </c>
      <c r="R55" s="22">
        <f>MAX(0,Model!R27*Assumptions!$C$60-Model!R53)</f>
        <v>293867.20059718192</v>
      </c>
      <c r="S55" s="22">
        <f>MAX(0,Model!S27*Assumptions!$C$60-Model!S53)</f>
        <v>0</v>
      </c>
      <c r="T55" s="22">
        <f>MAX(0,Model!T27*Assumptions!$C$60-Model!T53)</f>
        <v>327736.90892069042</v>
      </c>
      <c r="U55" s="22">
        <f>MAX(0,Model!U27*Assumptions!$C$60-Model!U53)</f>
        <v>0</v>
      </c>
      <c r="V55" s="22">
        <f>MAX(0,Model!V27*Assumptions!$C$60-Model!V53)</f>
        <v>284993.10655479692</v>
      </c>
      <c r="W55" s="22">
        <f>MAX(0,Model!W27*Assumptions!$C$60-Model!W53)</f>
        <v>0</v>
      </c>
      <c r="X55" s="22">
        <f>MAX(0,Model!X27*Assumptions!$C$60-Model!X53)</f>
        <v>0</v>
      </c>
      <c r="Y55" s="22">
        <f>MAX(0,Model!Y27*Assumptions!$C$60-Model!Y53)</f>
        <v>765021.30897485465</v>
      </c>
    </row>
    <row r="56" spans="2:25" x14ac:dyDescent="0.3">
      <c r="B56" t="s">
        <v>87</v>
      </c>
      <c r="E56" s="16">
        <f>E50*Assumptions!$C$63</f>
        <v>0</v>
      </c>
      <c r="F56" s="16">
        <f>F50*Assumptions!$C$63</f>
        <v>32000.000000000011</v>
      </c>
      <c r="G56" s="16">
        <f>G50*Assumptions!$C$63</f>
        <v>32000.000000000011</v>
      </c>
      <c r="H56" s="16">
        <f>H50*Assumptions!$C$63</f>
        <v>32000.000000000011</v>
      </c>
      <c r="I56" s="16">
        <f>I50*Assumptions!$C$63</f>
        <v>32000.000000000011</v>
      </c>
      <c r="J56" s="16">
        <f>J50*Assumptions!$C$63</f>
        <v>32000.000000000011</v>
      </c>
      <c r="K56" s="16">
        <f>K50*Assumptions!$C$63</f>
        <v>0</v>
      </c>
      <c r="L56" s="16">
        <f>L50*Assumptions!$C$63</f>
        <v>0</v>
      </c>
      <c r="M56" s="16">
        <f>M50*Assumptions!$C$63</f>
        <v>0</v>
      </c>
      <c r="N56" s="16">
        <f>N50*Assumptions!$C$63</f>
        <v>0</v>
      </c>
      <c r="O56" s="16">
        <f>O50*Assumptions!$C$63</f>
        <v>0</v>
      </c>
      <c r="P56" s="16">
        <f>P50*Assumptions!$C$63</f>
        <v>0</v>
      </c>
      <c r="Q56" s="16">
        <f>Q50*Assumptions!$C$63</f>
        <v>24810.977735339558</v>
      </c>
      <c r="R56" s="16">
        <f>R50*Assumptions!$C$63</f>
        <v>0</v>
      </c>
      <c r="S56" s="16">
        <f>S50*Assumptions!$C$63</f>
        <v>31339.245233273919</v>
      </c>
      <c r="T56" s="16">
        <f>T50*Assumptions!$C$63</f>
        <v>0</v>
      </c>
      <c r="U56" s="16">
        <f>U50*Assumptions!$C$63</f>
        <v>47034.568084150713</v>
      </c>
      <c r="V56" s="16">
        <f>V50*Assumptions!$C$63</f>
        <v>0</v>
      </c>
      <c r="W56" s="16">
        <f>W50*Assumptions!$C$63</f>
        <v>56241.747900577757</v>
      </c>
      <c r="X56" s="16">
        <f>X50*Assumptions!$C$63</f>
        <v>28654.755182130448</v>
      </c>
      <c r="Y56" s="16">
        <f>Y50*Assumptions!$C$63</f>
        <v>0</v>
      </c>
    </row>
    <row r="57" spans="2:25" x14ac:dyDescent="0.3">
      <c r="E57" s="2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2:25" x14ac:dyDescent="0.3">
      <c r="B58" s="4" t="s">
        <v>85</v>
      </c>
      <c r="E58" s="2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2:25" x14ac:dyDescent="0.3">
      <c r="E59" s="2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2:25" x14ac:dyDescent="0.3">
      <c r="B60" t="s">
        <v>84</v>
      </c>
      <c r="E60" s="16">
        <f>E29</f>
        <v>0</v>
      </c>
      <c r="F60" s="16">
        <f t="shared" ref="F60:Y60" si="27">F29</f>
        <v>0</v>
      </c>
      <c r="G60" s="16">
        <f t="shared" si="27"/>
        <v>168920.00000000006</v>
      </c>
      <c r="H60" s="16">
        <f t="shared" si="27"/>
        <v>342907.60000000009</v>
      </c>
      <c r="I60" s="16">
        <f t="shared" si="27"/>
        <v>522114.82800000021</v>
      </c>
      <c r="J60" s="16">
        <f t="shared" si="27"/>
        <v>706698.27284000022</v>
      </c>
      <c r="K60" s="16">
        <f t="shared" si="27"/>
        <v>896819.22102520021</v>
      </c>
      <c r="L60" s="16">
        <f t="shared" si="27"/>
        <v>923723.79765595624</v>
      </c>
      <c r="M60" s="16">
        <f t="shared" si="27"/>
        <v>951435.51158563502</v>
      </c>
      <c r="N60" s="16">
        <f t="shared" si="27"/>
        <v>979978.57693320408</v>
      </c>
      <c r="O60" s="16">
        <f t="shared" si="27"/>
        <v>1009377.9342412001</v>
      </c>
      <c r="P60" s="16">
        <f t="shared" si="27"/>
        <v>1039659.2722684363</v>
      </c>
      <c r="Q60" s="16">
        <f t="shared" si="27"/>
        <v>1070849.0504364893</v>
      </c>
      <c r="R60" s="16">
        <f t="shared" si="27"/>
        <v>1233945.4706700076</v>
      </c>
      <c r="S60" s="16">
        <f t="shared" si="27"/>
        <v>1270963.834790108</v>
      </c>
      <c r="T60" s="16">
        <f t="shared" si="27"/>
        <v>1474524.7906089558</v>
      </c>
      <c r="U60" s="16">
        <f t="shared" si="27"/>
        <v>1518760.5343272246</v>
      </c>
      <c r="V60" s="16">
        <f t="shared" si="27"/>
        <v>1812607.076631252</v>
      </c>
      <c r="W60" s="16">
        <f t="shared" si="27"/>
        <v>1866985.2889301896</v>
      </c>
      <c r="X60" s="16">
        <f t="shared" si="27"/>
        <v>2219880.9743282702</v>
      </c>
      <c r="Y60" s="16">
        <f t="shared" si="27"/>
        <v>2437738.6924757892</v>
      </c>
    </row>
    <row r="61" spans="2:25" x14ac:dyDescent="0.3">
      <c r="B61" t="s">
        <v>86</v>
      </c>
      <c r="E61" s="16">
        <f>E48*Assumptions!$C$61*-1</f>
        <v>0</v>
      </c>
      <c r="F61" s="16">
        <f>F48*Assumptions!$C$61*-1</f>
        <v>0</v>
      </c>
      <c r="G61" s="16">
        <f>G48*Assumptions!$C$61*-1</f>
        <v>-104000.00000000003</v>
      </c>
      <c r="H61" s="16">
        <f>H48*Assumptions!$C$61*-1</f>
        <v>-206440.00000000006</v>
      </c>
      <c r="I61" s="16">
        <f>I48*Assumptions!$C$61*-1</f>
        <v>-307343.40000000014</v>
      </c>
      <c r="J61" s="16">
        <f>J48*Assumptions!$C$61*-1</f>
        <v>-406733.24900000013</v>
      </c>
      <c r="K61" s="16">
        <f>K48*Assumptions!$C$61*-1</f>
        <v>-504632.2502650001</v>
      </c>
      <c r="L61" s="16">
        <f>L48*Assumptions!$C$61*-1</f>
        <v>-497062.76651102508</v>
      </c>
      <c r="M61" s="16">
        <f>M48*Assumptions!$C$61*-1</f>
        <v>-489606.82501335966</v>
      </c>
      <c r="N61" s="16">
        <f>N48*Assumptions!$C$61*-1</f>
        <v>-482262.72263815923</v>
      </c>
      <c r="O61" s="16">
        <f>O48*Assumptions!$C$61*-1</f>
        <v>-475028.78179858689</v>
      </c>
      <c r="P61" s="16">
        <f>P48*Assumptions!$C$61*-1</f>
        <v>-467903.35007160809</v>
      </c>
      <c r="Q61" s="16">
        <f>Q48*Assumptions!$C$61*-1</f>
        <v>-467903.35007160809</v>
      </c>
      <c r="R61" s="16">
        <f>R48*Assumptions!$C$61*-1</f>
        <v>-568697.94712142507</v>
      </c>
      <c r="S61" s="16">
        <f>S48*Assumptions!$C$61*-1</f>
        <v>-560167.47791460354</v>
      </c>
      <c r="T61" s="16">
        <f>T48*Assumptions!$C$61*-1</f>
        <v>-681121.39296156063</v>
      </c>
      <c r="U61" s="16">
        <f>U48*Assumptions!$C$61*-1</f>
        <v>-670904.57206713723</v>
      </c>
      <c r="V61" s="16">
        <f>V48*Assumptions!$C$61*-1</f>
        <v>-845069.81742047193</v>
      </c>
      <c r="W61" s="16">
        <f>W48*Assumptions!$C$61*-1</f>
        <v>-832393.77015916479</v>
      </c>
      <c r="X61" s="16">
        <f>X48*Assumptions!$C$61*-1</f>
        <v>-1033704.0027621043</v>
      </c>
      <c r="Y61" s="16">
        <f>Y48*Assumptions!$C$61*-1</f>
        <v>-1111326.3970625969</v>
      </c>
    </row>
    <row r="62" spans="2:25" x14ac:dyDescent="0.3">
      <c r="B62" t="s">
        <v>82</v>
      </c>
      <c r="E62" s="16">
        <f>E52*-1</f>
        <v>0</v>
      </c>
      <c r="F62" s="16">
        <f t="shared" ref="F62:Y62" si="28">F52*-1</f>
        <v>0</v>
      </c>
      <c r="G62" s="16">
        <f t="shared" si="28"/>
        <v>-24000.000000000007</v>
      </c>
      <c r="H62" s="16">
        <f t="shared" si="28"/>
        <v>-47640.000000000015</v>
      </c>
      <c r="I62" s="16">
        <f t="shared" si="28"/>
        <v>-70925.400000000023</v>
      </c>
      <c r="J62" s="16">
        <f t="shared" si="28"/>
        <v>-93861.519000000015</v>
      </c>
      <c r="K62" s="16">
        <f t="shared" si="28"/>
        <v>-116453.59621500001</v>
      </c>
      <c r="L62" s="16">
        <f t="shared" si="28"/>
        <v>-114706.792271775</v>
      </c>
      <c r="M62" s="16">
        <f t="shared" si="28"/>
        <v>-112986.19038769839</v>
      </c>
      <c r="N62" s="16">
        <f t="shared" si="28"/>
        <v>-111291.3975318829</v>
      </c>
      <c r="O62" s="16">
        <f t="shared" si="28"/>
        <v>-109622.02656890465</v>
      </c>
      <c r="P62" s="16">
        <f t="shared" si="28"/>
        <v>0</v>
      </c>
      <c r="Q62" s="16">
        <f t="shared" si="28"/>
        <v>0</v>
      </c>
      <c r="R62" s="16">
        <f t="shared" si="28"/>
        <v>-131237.9877972519</v>
      </c>
      <c r="S62" s="16">
        <f t="shared" si="28"/>
        <v>0</v>
      </c>
      <c r="T62" s="16">
        <f t="shared" si="28"/>
        <v>-157181.85991420629</v>
      </c>
      <c r="U62" s="16">
        <f t="shared" si="28"/>
        <v>0</v>
      </c>
      <c r="V62" s="16">
        <f t="shared" si="28"/>
        <v>-195016.11171241658</v>
      </c>
      <c r="W62" s="16">
        <f t="shared" si="28"/>
        <v>0</v>
      </c>
      <c r="X62" s="16">
        <f t="shared" si="28"/>
        <v>-238547.0775604856</v>
      </c>
      <c r="Y62" s="16">
        <f t="shared" si="28"/>
        <v>-256459.9377836762</v>
      </c>
    </row>
    <row r="63" spans="2:25" x14ac:dyDescent="0.3">
      <c r="B63" s="15" t="s">
        <v>88</v>
      </c>
      <c r="E63" s="19">
        <f t="shared" ref="E63:Y63" si="29">SUM(E60:E62)</f>
        <v>0</v>
      </c>
      <c r="F63" s="19">
        <f t="shared" si="29"/>
        <v>0</v>
      </c>
      <c r="G63" s="19">
        <f t="shared" si="29"/>
        <v>40920.000000000022</v>
      </c>
      <c r="H63" s="19">
        <f t="shared" si="29"/>
        <v>88827.60000000002</v>
      </c>
      <c r="I63" s="19">
        <f t="shared" si="29"/>
        <v>143846.02800000005</v>
      </c>
      <c r="J63" s="19">
        <f t="shared" si="29"/>
        <v>206103.50484000007</v>
      </c>
      <c r="K63" s="19">
        <f t="shared" si="29"/>
        <v>275733.37454520009</v>
      </c>
      <c r="L63" s="19">
        <f t="shared" si="29"/>
        <v>311954.23887315614</v>
      </c>
      <c r="M63" s="19">
        <f t="shared" si="29"/>
        <v>348842.496184577</v>
      </c>
      <c r="N63" s="19">
        <f t="shared" si="29"/>
        <v>386424.45676316193</v>
      </c>
      <c r="O63" s="19">
        <f t="shared" si="29"/>
        <v>424727.12587370852</v>
      </c>
      <c r="P63" s="19">
        <f t="shared" si="29"/>
        <v>571755.92219682818</v>
      </c>
      <c r="Q63" s="19">
        <f t="shared" si="29"/>
        <v>602945.7003648812</v>
      </c>
      <c r="R63" s="19">
        <f t="shared" si="29"/>
        <v>534009.53575133067</v>
      </c>
      <c r="S63" s="19">
        <f t="shared" si="29"/>
        <v>710796.35687550448</v>
      </c>
      <c r="T63" s="19">
        <f t="shared" si="29"/>
        <v>636221.53773318883</v>
      </c>
      <c r="U63" s="19">
        <f t="shared" si="29"/>
        <v>847855.96226008737</v>
      </c>
      <c r="V63" s="19">
        <f t="shared" si="29"/>
        <v>772521.1474983634</v>
      </c>
      <c r="W63" s="19">
        <f t="shared" si="29"/>
        <v>1034591.5187710248</v>
      </c>
      <c r="X63" s="19">
        <f t="shared" si="29"/>
        <v>947629.89400568022</v>
      </c>
      <c r="Y63" s="19">
        <f t="shared" si="29"/>
        <v>1069952.3576295162</v>
      </c>
    </row>
    <row r="64" spans="2:25" x14ac:dyDescent="0.3">
      <c r="E64" s="2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25" x14ac:dyDescent="0.3">
      <c r="B65" t="s">
        <v>91</v>
      </c>
      <c r="E65" s="16">
        <f>E42*Assumptions!$C$54*-1</f>
        <v>0</v>
      </c>
      <c r="F65" s="16">
        <f>F42*Assumptions!$C$54*-1</f>
        <v>0</v>
      </c>
      <c r="G65" s="16">
        <f>G42*Assumptions!$C$54*-1</f>
        <v>-4800</v>
      </c>
      <c r="H65" s="16">
        <f>H42*Assumptions!$C$54*-1</f>
        <v>-9828.6</v>
      </c>
      <c r="I65" s="16">
        <f>I42*Assumptions!$C$54*-1</f>
        <v>-15121.881000000001</v>
      </c>
      <c r="J65" s="16">
        <f>J42*Assumptions!$C$54*-1</f>
        <v>-20716.720545</v>
      </c>
      <c r="K65" s="16">
        <f>K42*Assumptions!$C$54*-1</f>
        <v>-26650.821671925001</v>
      </c>
      <c r="L65" s="16">
        <f>L42*Assumptions!$C$54*-1</f>
        <v>-28162.742653010628</v>
      </c>
      <c r="M65" s="16">
        <f>M42*Assumptions!$C$54*-1</f>
        <v>-29863.327560641465</v>
      </c>
      <c r="N65" s="16">
        <f>N42*Assumptions!$C$54*-1</f>
        <v>-31756.856679367553</v>
      </c>
      <c r="O65" s="16">
        <f>O42*Assumptions!$C$54*-1</f>
        <v>-33847.763246580202</v>
      </c>
      <c r="P65" s="16">
        <f>P42*Assumptions!$C$54*-1</f>
        <v>-36140.637692181648</v>
      </c>
      <c r="Q65" s="16">
        <f>Q42*Assumptions!$C$54*-1</f>
        <v>-39180.120491626694</v>
      </c>
      <c r="R65" s="16">
        <f>R42*Assumptions!$C$54*-1</f>
        <v>-42390.749595909234</v>
      </c>
      <c r="S65" s="16">
        <f>S42*Assumptions!$C$54*-1</f>
        <v>-45272.751022645432</v>
      </c>
      <c r="T65" s="16">
        <f>T42*Assumptions!$C$54*-1</f>
        <v>-49053.096562136183</v>
      </c>
      <c r="U65" s="16">
        <f>U42*Assumptions!$C$54*-1</f>
        <v>-52479.469733612808</v>
      </c>
      <c r="V65" s="16">
        <f>V42*Assumptions!$C$54*-1</f>
        <v>-56981.14689358131</v>
      </c>
      <c r="W65" s="16">
        <f>W42*Assumptions!$C$54*-1</f>
        <v>-61128.658365541036</v>
      </c>
      <c r="X65" s="16">
        <f>X42*Assumptions!$C$54*-1</f>
        <v>-66607.259251223863</v>
      </c>
      <c r="Y65" s="16">
        <f>Y42*Assumptions!$C$54*-1</f>
        <v>-71678.445017508391</v>
      </c>
    </row>
    <row r="66" spans="2:25" x14ac:dyDescent="0.3">
      <c r="B66" t="s">
        <v>92</v>
      </c>
      <c r="E66" s="16">
        <f>MAX(0,MIN(E42,(E63-E65)*Assumptions!$C$56))*-1</f>
        <v>0</v>
      </c>
      <c r="F66" s="16">
        <f>MAX(0,MIN(F42,(F63-F65)*Assumptions!$C$56))*-1</f>
        <v>0</v>
      </c>
      <c r="G66" s="16">
        <f>MAX(0,MIN(G42,(G63-G65)*Assumptions!$C$56))*-1</f>
        <v>-11430.000000000005</v>
      </c>
      <c r="H66" s="16">
        <f>MAX(0,MIN(H42,(H63-H65)*Assumptions!$C$56))*-1</f>
        <v>-24664.050000000007</v>
      </c>
      <c r="I66" s="16">
        <f>MAX(0,MIN(I42,(I63-I65)*Assumptions!$C$56))*-1</f>
        <v>-39741.977250000011</v>
      </c>
      <c r="J66" s="16">
        <f>MAX(0,MIN(J42,(J63-J65)*Assumptions!$C$56))*-1</f>
        <v>-56705.056346250014</v>
      </c>
      <c r="K66" s="16">
        <f>MAX(0,MIN(K42,(K63-K65)*Assumptions!$C$56))*-1</f>
        <v>-75596.049054281277</v>
      </c>
      <c r="L66" s="16">
        <f>MAX(0,MIN(L42,(L63-L65)*Assumptions!$C$56))*-1</f>
        <v>-85029.245381541696</v>
      </c>
      <c r="M66" s="16">
        <f>MAX(0,MIN(M42,(M63-M65)*Assumptions!$C$56))*-1</f>
        <v>-94676.455936304614</v>
      </c>
      <c r="N66" s="16">
        <f>MAX(0,MIN(N42,(N63-N65)*Assumptions!$C$56))*-1</f>
        <v>-104545.32836063237</v>
      </c>
      <c r="O66" s="16">
        <f>MAX(0,MIN(O42,(O63-O65)*Assumptions!$C$56))*-1</f>
        <v>-114643.72228007218</v>
      </c>
      <c r="P66" s="16">
        <f>MAX(0,MIN(P42,(P63-P65)*Assumptions!$C$56))*-1</f>
        <v>-151974.13997225245</v>
      </c>
      <c r="Q66" s="16">
        <f>MAX(0,MIN(Q42,(Q63-Q65)*Assumptions!$C$56))*-1</f>
        <v>-160531.45521412697</v>
      </c>
      <c r="R66" s="16">
        <f>MAX(0,MIN(R42,(R63-R65)*Assumptions!$C$56))*-1</f>
        <v>-144100.07133680998</v>
      </c>
      <c r="S66" s="16">
        <f>MAX(0,MIN(S42,(S63-S65)*Assumptions!$C$56))*-1</f>
        <v>-189017.27697453747</v>
      </c>
      <c r="T66" s="16">
        <f>MAX(0,MIN(T42,(T63-T65)*Assumptions!$C$56))*-1</f>
        <v>-171318.65857383126</v>
      </c>
      <c r="U66" s="16">
        <f>MAX(0,MIN(U42,(U63-U65)*Assumptions!$C$56))*-1</f>
        <v>-225083.85799842505</v>
      </c>
      <c r="V66" s="16">
        <f>MAX(0,MIN(V42,(V63-V65)*Assumptions!$C$56))*-1</f>
        <v>-207375.57359798616</v>
      </c>
      <c r="W66" s="16">
        <f>MAX(0,MIN(W42,(W63-W65)*Assumptions!$C$56))*-1</f>
        <v>-273930.04428414145</v>
      </c>
      <c r="X66" s="16">
        <f>MAX(0,MIN(X42,(X63-X65)*Assumptions!$C$56))*-1</f>
        <v>-253559.28831422603</v>
      </c>
      <c r="Y66" s="16">
        <f>MAX(0,MIN(Y42,(Y63-Y65)*Assumptions!$C$56))*-1</f>
        <v>-285407.70066175616</v>
      </c>
    </row>
    <row r="67" spans="2:25" x14ac:dyDescent="0.3">
      <c r="E67" s="2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2:25" x14ac:dyDescent="0.3">
      <c r="B68" t="s">
        <v>111</v>
      </c>
      <c r="E68" s="16">
        <v>0</v>
      </c>
      <c r="F68" s="16">
        <f>Assumptions!$C$66*-1*F97</f>
        <v>-154500</v>
      </c>
      <c r="G68" s="16">
        <f>Assumptions!$C$66*-1*G97</f>
        <v>-159135</v>
      </c>
      <c r="H68" s="16">
        <f>Assumptions!$C$66*-1*H97</f>
        <v>-163909.04999999999</v>
      </c>
      <c r="I68" s="16">
        <f>Assumptions!$C$66*-1*I97</f>
        <v>-168826.32150000002</v>
      </c>
      <c r="J68" s="16">
        <f>Assumptions!$C$66*-1*J97</f>
        <v>-173891.111145</v>
      </c>
      <c r="K68" s="16">
        <f>Assumptions!$C$66*-1*K97</f>
        <v>-179107.84447935002</v>
      </c>
      <c r="L68" s="16">
        <f>Assumptions!$C$66*-1*L97</f>
        <v>-184481.07981373052</v>
      </c>
      <c r="M68" s="16">
        <f>Assumptions!$C$66*-1*M97</f>
        <v>-190015.51220814246</v>
      </c>
      <c r="N68" s="16">
        <f>Assumptions!$C$66*-1*N97</f>
        <v>-195715.97757438672</v>
      </c>
      <c r="O68" s="16">
        <f>Assumptions!$C$66*-1*O97</f>
        <v>-201587.45690161834</v>
      </c>
      <c r="P68" s="16">
        <f>Assumptions!$C$66*-1*P97</f>
        <v>-207635.08060866687</v>
      </c>
      <c r="Q68" s="16">
        <f>Assumptions!$C$66*-1*Q97</f>
        <v>-213864.13302692689</v>
      </c>
      <c r="R68" s="16">
        <f>Assumptions!$C$66*-1*R97</f>
        <v>-220280.05701773471</v>
      </c>
      <c r="S68" s="16">
        <f>Assumptions!$C$66*-1*S97</f>
        <v>-226888.45872826679</v>
      </c>
      <c r="T68" s="16">
        <f>Assumptions!$C$66*-1*T97</f>
        <v>-233695.11249011479</v>
      </c>
      <c r="U68" s="16">
        <f>Assumptions!$C$66*-1*U97</f>
        <v>-240705.96586481825</v>
      </c>
      <c r="V68" s="16">
        <f>Assumptions!$C$66*-1*V97</f>
        <v>-247927.1448407628</v>
      </c>
      <c r="W68" s="16">
        <f>Assumptions!$C$66*-1*W97</f>
        <v>-255364.95918598567</v>
      </c>
      <c r="X68" s="16">
        <f>Assumptions!$C$66*-1*X97</f>
        <v>-263025.9079615653</v>
      </c>
      <c r="Y68" s="16">
        <f>Assumptions!$C$66*-1*Y97</f>
        <v>-270916.68520041223</v>
      </c>
    </row>
    <row r="69" spans="2:25" x14ac:dyDescent="0.3">
      <c r="B69" t="s">
        <v>112</v>
      </c>
      <c r="C69" s="16">
        <f>SUM(E69:Y69)</f>
        <v>529193.97560660611</v>
      </c>
      <c r="E69" s="16">
        <f>MAX(0,MIN(-E68,-(E68+SUM(E63:E66))))</f>
        <v>0</v>
      </c>
      <c r="F69" s="16">
        <f t="shared" ref="F69:Y69" si="30">MAX(0,MIN(-F68,-(F68+SUM(F63:F66))))</f>
        <v>154500</v>
      </c>
      <c r="G69" s="16">
        <f t="shared" si="30"/>
        <v>134445</v>
      </c>
      <c r="H69" s="16">
        <f t="shared" si="30"/>
        <v>109574.09999999998</v>
      </c>
      <c r="I69" s="16">
        <f t="shared" si="30"/>
        <v>79844.151749999975</v>
      </c>
      <c r="J69" s="16">
        <f t="shared" si="30"/>
        <v>45209.383196249939</v>
      </c>
      <c r="K69" s="16">
        <f t="shared" si="30"/>
        <v>5621.340660356218</v>
      </c>
      <c r="L69" s="16">
        <f t="shared" si="30"/>
        <v>0</v>
      </c>
      <c r="M69" s="16">
        <f t="shared" si="30"/>
        <v>0</v>
      </c>
      <c r="N69" s="16">
        <f t="shared" si="30"/>
        <v>0</v>
      </c>
      <c r="O69" s="16">
        <f t="shared" si="30"/>
        <v>0</v>
      </c>
      <c r="P69" s="16">
        <f t="shared" si="30"/>
        <v>0</v>
      </c>
      <c r="Q69" s="16">
        <f t="shared" si="30"/>
        <v>0</v>
      </c>
      <c r="R69" s="16">
        <f t="shared" si="30"/>
        <v>0</v>
      </c>
      <c r="S69" s="16">
        <f t="shared" si="30"/>
        <v>0</v>
      </c>
      <c r="T69" s="16">
        <f t="shared" si="30"/>
        <v>0</v>
      </c>
      <c r="U69" s="16">
        <f t="shared" si="30"/>
        <v>0</v>
      </c>
      <c r="V69" s="16">
        <f t="shared" si="30"/>
        <v>0</v>
      </c>
      <c r="W69" s="16">
        <f t="shared" si="30"/>
        <v>0</v>
      </c>
      <c r="X69" s="16">
        <f t="shared" si="30"/>
        <v>0</v>
      </c>
      <c r="Y69" s="16">
        <f t="shared" si="30"/>
        <v>0</v>
      </c>
    </row>
    <row r="70" spans="2:25" outlineLevel="1" x14ac:dyDescent="0.3">
      <c r="C70" s="16"/>
      <c r="F70" s="16">
        <f>IF(AND(F69=0,E69&gt;0),F6,0)</f>
        <v>0</v>
      </c>
      <c r="G70" s="16">
        <f t="shared" ref="G70:Y70" si="31">IF(AND(G69=0,F69&gt;0),G6,0)</f>
        <v>0</v>
      </c>
      <c r="H70" s="16">
        <f t="shared" si="31"/>
        <v>0</v>
      </c>
      <c r="I70" s="16">
        <f t="shared" si="31"/>
        <v>0</v>
      </c>
      <c r="J70" s="16">
        <f t="shared" si="31"/>
        <v>0</v>
      </c>
      <c r="K70" s="16">
        <f t="shared" si="31"/>
        <v>0</v>
      </c>
      <c r="L70" s="16">
        <f t="shared" si="31"/>
        <v>7</v>
      </c>
      <c r="M70" s="16">
        <f t="shared" si="31"/>
        <v>0</v>
      </c>
      <c r="N70" s="16">
        <f t="shared" si="31"/>
        <v>0</v>
      </c>
      <c r="O70" s="16">
        <f t="shared" si="31"/>
        <v>0</v>
      </c>
      <c r="P70" s="16">
        <f t="shared" si="31"/>
        <v>0</v>
      </c>
      <c r="Q70" s="16">
        <f t="shared" si="31"/>
        <v>0</v>
      </c>
      <c r="R70" s="16">
        <f t="shared" si="31"/>
        <v>0</v>
      </c>
      <c r="S70" s="16">
        <f t="shared" si="31"/>
        <v>0</v>
      </c>
      <c r="T70" s="16">
        <f t="shared" si="31"/>
        <v>0</v>
      </c>
      <c r="U70" s="16">
        <f t="shared" si="31"/>
        <v>0</v>
      </c>
      <c r="V70" s="16">
        <f t="shared" si="31"/>
        <v>0</v>
      </c>
      <c r="W70" s="16">
        <f t="shared" si="31"/>
        <v>0</v>
      </c>
      <c r="X70" s="16">
        <f t="shared" si="31"/>
        <v>0</v>
      </c>
      <c r="Y70" s="16">
        <f t="shared" si="31"/>
        <v>0</v>
      </c>
    </row>
    <row r="71" spans="2:25" x14ac:dyDescent="0.3">
      <c r="E71" s="2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2:25" x14ac:dyDescent="0.3">
      <c r="B72" s="15" t="s">
        <v>94</v>
      </c>
      <c r="E72" s="19">
        <f>E63+SUM(E65:E71)</f>
        <v>0</v>
      </c>
      <c r="F72" s="19">
        <f t="shared" ref="F72:Y72" si="32">F63+SUM(F65:F71)</f>
        <v>0</v>
      </c>
      <c r="G72" s="19">
        <f t="shared" si="32"/>
        <v>0</v>
      </c>
      <c r="H72" s="19">
        <f t="shared" si="32"/>
        <v>0</v>
      </c>
      <c r="I72" s="19">
        <f t="shared" si="32"/>
        <v>0</v>
      </c>
      <c r="J72" s="19">
        <f t="shared" si="32"/>
        <v>0</v>
      </c>
      <c r="K72" s="19">
        <f t="shared" si="32"/>
        <v>0</v>
      </c>
      <c r="L72" s="19">
        <f t="shared" si="32"/>
        <v>14288.171024873271</v>
      </c>
      <c r="M72" s="19">
        <f t="shared" si="32"/>
        <v>34287.200479488471</v>
      </c>
      <c r="N72" s="19">
        <f t="shared" si="32"/>
        <v>54406.294148775283</v>
      </c>
      <c r="O72" s="19">
        <f t="shared" si="32"/>
        <v>74648.183445437811</v>
      </c>
      <c r="P72" s="19">
        <f t="shared" si="32"/>
        <v>176006.0639237272</v>
      </c>
      <c r="Q72" s="19">
        <f t="shared" si="32"/>
        <v>189369.99163220066</v>
      </c>
      <c r="R72" s="19">
        <f t="shared" si="32"/>
        <v>127238.65780087677</v>
      </c>
      <c r="S72" s="19">
        <f t="shared" si="32"/>
        <v>249617.8701500548</v>
      </c>
      <c r="T72" s="19">
        <f t="shared" si="32"/>
        <v>182154.67010710656</v>
      </c>
      <c r="U72" s="19">
        <f t="shared" si="32"/>
        <v>329586.66866323125</v>
      </c>
      <c r="V72" s="19">
        <f t="shared" si="32"/>
        <v>260237.28216603317</v>
      </c>
      <c r="W72" s="19">
        <f t="shared" si="32"/>
        <v>444167.85693535663</v>
      </c>
      <c r="X72" s="19">
        <f t="shared" si="32"/>
        <v>364437.43847866496</v>
      </c>
      <c r="Y72" s="19">
        <f t="shared" si="32"/>
        <v>441949.52674983931</v>
      </c>
    </row>
    <row r="73" spans="2:25" x14ac:dyDescent="0.3">
      <c r="E73" s="2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2:25" x14ac:dyDescent="0.3">
      <c r="B74" s="4" t="s">
        <v>95</v>
      </c>
      <c r="E74" s="2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2:25" x14ac:dyDescent="0.3">
      <c r="E75" s="2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2:25" x14ac:dyDescent="0.3">
      <c r="B76" t="s">
        <v>96</v>
      </c>
      <c r="E76" s="16">
        <v>0</v>
      </c>
      <c r="F76" s="16">
        <f>E81</f>
        <v>0</v>
      </c>
      <c r="G76" s="16">
        <f t="shared" ref="G76:Y76" si="33">F81</f>
        <v>0</v>
      </c>
      <c r="H76" s="16">
        <f t="shared" si="33"/>
        <v>0</v>
      </c>
      <c r="I76" s="16">
        <f t="shared" si="33"/>
        <v>0</v>
      </c>
      <c r="J76" s="16">
        <f t="shared" si="33"/>
        <v>0</v>
      </c>
      <c r="K76" s="16">
        <f t="shared" si="33"/>
        <v>0</v>
      </c>
      <c r="L76" s="16">
        <f t="shared" si="33"/>
        <v>0</v>
      </c>
      <c r="M76" s="16">
        <f t="shared" si="33"/>
        <v>0</v>
      </c>
      <c r="N76" s="16">
        <f t="shared" si="33"/>
        <v>0</v>
      </c>
      <c r="O76" s="16">
        <f t="shared" si="33"/>
        <v>0</v>
      </c>
      <c r="P76" s="16">
        <f t="shared" si="33"/>
        <v>0</v>
      </c>
      <c r="Q76" s="16">
        <f t="shared" si="33"/>
        <v>92006.063923727197</v>
      </c>
      <c r="R76" s="16">
        <f t="shared" si="33"/>
        <v>197376.05555592786</v>
      </c>
      <c r="S76" s="16">
        <f t="shared" si="33"/>
        <v>240614.71335680463</v>
      </c>
      <c r="T76" s="16">
        <f t="shared" si="33"/>
        <v>308359.2186881174</v>
      </c>
      <c r="U76" s="16">
        <f t="shared" si="33"/>
        <v>406513.88879522396</v>
      </c>
      <c r="V76" s="16">
        <f t="shared" si="33"/>
        <v>391905.36532726185</v>
      </c>
      <c r="W76" s="16">
        <f t="shared" si="33"/>
        <v>568142.64749329502</v>
      </c>
      <c r="X76" s="16">
        <f t="shared" si="33"/>
        <v>510281.76222622674</v>
      </c>
      <c r="Y76" s="16">
        <f t="shared" si="33"/>
        <v>432534.76092826115</v>
      </c>
    </row>
    <row r="77" spans="2:25" x14ac:dyDescent="0.3">
      <c r="B77" t="s">
        <v>97</v>
      </c>
      <c r="E77" s="16">
        <f>E72</f>
        <v>0</v>
      </c>
      <c r="F77" s="16">
        <f>F72</f>
        <v>0</v>
      </c>
      <c r="G77" s="16">
        <f t="shared" ref="G77:Y77" si="34">G72</f>
        <v>0</v>
      </c>
      <c r="H77" s="16">
        <f t="shared" si="34"/>
        <v>0</v>
      </c>
      <c r="I77" s="16">
        <f t="shared" si="34"/>
        <v>0</v>
      </c>
      <c r="J77" s="16">
        <f t="shared" si="34"/>
        <v>0</v>
      </c>
      <c r="K77" s="16">
        <f t="shared" si="34"/>
        <v>0</v>
      </c>
      <c r="L77" s="16">
        <f t="shared" si="34"/>
        <v>14288.171024873271</v>
      </c>
      <c r="M77" s="16">
        <f t="shared" si="34"/>
        <v>34287.200479488471</v>
      </c>
      <c r="N77" s="16">
        <f t="shared" si="34"/>
        <v>54406.294148775283</v>
      </c>
      <c r="O77" s="16">
        <f t="shared" si="34"/>
        <v>74648.183445437811</v>
      </c>
      <c r="P77" s="16">
        <f t="shared" si="34"/>
        <v>176006.0639237272</v>
      </c>
      <c r="Q77" s="16">
        <f t="shared" si="34"/>
        <v>189369.99163220066</v>
      </c>
      <c r="R77" s="16">
        <f t="shared" si="34"/>
        <v>127238.65780087677</v>
      </c>
      <c r="S77" s="16">
        <f t="shared" si="34"/>
        <v>249617.8701500548</v>
      </c>
      <c r="T77" s="16">
        <f t="shared" si="34"/>
        <v>182154.67010710656</v>
      </c>
      <c r="U77" s="16">
        <f t="shared" si="34"/>
        <v>329586.66866323125</v>
      </c>
      <c r="V77" s="16">
        <f t="shared" si="34"/>
        <v>260237.28216603317</v>
      </c>
      <c r="W77" s="16">
        <f t="shared" si="34"/>
        <v>444167.85693535663</v>
      </c>
      <c r="X77" s="16">
        <f t="shared" si="34"/>
        <v>364437.43847866496</v>
      </c>
      <c r="Y77" s="16">
        <f t="shared" si="34"/>
        <v>441949.52674983931</v>
      </c>
    </row>
    <row r="78" spans="2:25" x14ac:dyDescent="0.3">
      <c r="B78" t="s">
        <v>98</v>
      </c>
      <c r="E78" s="16">
        <f>MAX(0,MIN(E76+E77,(E$6&gt;=Assumptions!$C$47)*Assumptions!$C$46*Model!E38))</f>
        <v>0</v>
      </c>
      <c r="F78" s="16">
        <f>MAX(0,MIN(F76+F77,(F$6&gt;=Assumptions!$C$47)*Assumptions!$C$46*Model!F38))</f>
        <v>0</v>
      </c>
      <c r="G78" s="16">
        <f>MAX(0,MIN(G76+G77,(G$6&gt;=Assumptions!$C$47)*Assumptions!$C$46*Model!G38))</f>
        <v>0</v>
      </c>
      <c r="H78" s="16">
        <f>MAX(0,MIN(H76+H77,(H$6&gt;=Assumptions!$C$47)*Assumptions!$C$46*Model!H38))</f>
        <v>0</v>
      </c>
      <c r="I78" s="16">
        <f>MAX(0,MIN(I76+I77,(I$6&gt;=Assumptions!$C$47)*Assumptions!$C$46*Model!I38))</f>
        <v>0</v>
      </c>
      <c r="J78" s="16">
        <f>MAX(0,MIN(J76+J77,(J$6&gt;=Assumptions!$C$47)*Assumptions!$C$46*Model!J38))</f>
        <v>0</v>
      </c>
      <c r="K78" s="16">
        <f>MAX(0,MIN(K76+K77,(K$6&gt;=Assumptions!$C$47)*Assumptions!$C$46*Model!K38))</f>
        <v>0</v>
      </c>
      <c r="L78" s="16">
        <f>MAX(0,MIN(L76+L77,(L$6&gt;=Assumptions!$C$47)*Assumptions!$C$46*Model!L38))</f>
        <v>0</v>
      </c>
      <c r="M78" s="16">
        <f>MAX(0,MIN(M76+M77,(M$6&gt;=Assumptions!$C$47)*Assumptions!$C$46*Model!M38))</f>
        <v>0</v>
      </c>
      <c r="N78" s="16">
        <f>MAX(0,MIN(N76+N77,(N$6&gt;=Assumptions!$C$47)*Assumptions!$C$46*Model!N38))</f>
        <v>0</v>
      </c>
      <c r="O78" s="16">
        <f>MAX(0,MIN(O76+O77,(O$6&gt;=Assumptions!$C$47)*Assumptions!$C$46*Model!O38))</f>
        <v>24000</v>
      </c>
      <c r="P78" s="16">
        <f>MAX(0,MIN(P76+P77,(P$6&gt;=Assumptions!$C$47)*Assumptions!$C$46*Model!P38))</f>
        <v>24000</v>
      </c>
      <c r="Q78" s="16">
        <f>MAX(0,MIN(Q76+Q77,(Q$6&gt;=Assumptions!$C$47)*Assumptions!$C$46*Model!Q38))</f>
        <v>24000</v>
      </c>
      <c r="R78" s="16">
        <f>MAX(0,MIN(R76+R77,(R$6&gt;=Assumptions!$C$47)*Assumptions!$C$46*Model!R38))</f>
        <v>24000</v>
      </c>
      <c r="S78" s="16">
        <f>MAX(0,MIN(S76+S77,(S$6&gt;=Assumptions!$C$47)*Assumptions!$C$46*Model!S38))</f>
        <v>24000</v>
      </c>
      <c r="T78" s="16">
        <f>MAX(0,MIN(T76+T77,(T$6&gt;=Assumptions!$C$47)*Assumptions!$C$46*Model!T38))</f>
        <v>24000</v>
      </c>
      <c r="U78" s="16">
        <f>MAX(0,MIN(U76+U77,(U$6&gt;=Assumptions!$C$47)*Assumptions!$C$46*Model!U38))</f>
        <v>24000</v>
      </c>
      <c r="V78" s="16">
        <f>MAX(0,MIN(V76+V77,(V$6&gt;=Assumptions!$C$47)*Assumptions!$C$46*Model!V38))</f>
        <v>24000</v>
      </c>
      <c r="W78" s="16">
        <f>MAX(0,MIN(W76+W77,(W$6&gt;=Assumptions!$C$47)*Assumptions!$C$46*Model!W38))</f>
        <v>24000</v>
      </c>
      <c r="X78" s="16">
        <f>MAX(0,MIN(X76+X77,(X$6&gt;=Assumptions!$C$47)*Assumptions!$C$46*Model!X38))</f>
        <v>24000</v>
      </c>
      <c r="Y78" s="16">
        <f>MAX(0,MIN(Y76+Y77,(Y$6&gt;=Assumptions!$C$47)*Assumptions!$C$46*Model!Y38))</f>
        <v>24000</v>
      </c>
    </row>
    <row r="79" spans="2:25" x14ac:dyDescent="0.3">
      <c r="B79" t="s">
        <v>99</v>
      </c>
      <c r="E79" s="16">
        <f>MAX(0,MIN(E76+E77-E78,IF(E$6&lt;Assumptions!$C$48,Assumptions!$C$49*Model!E38,Assumptions!$C$50*E38)))</f>
        <v>0</v>
      </c>
      <c r="F79" s="16">
        <f>MAX(0,MIN(F76+F77-F78,IF(F$6&lt;Assumptions!$C$48,Assumptions!$C$49*Model!F38,Assumptions!$C$50*F38)))</f>
        <v>0</v>
      </c>
      <c r="G79" s="16">
        <f>MAX(0,MIN(G76+G77-G78,IF(G$6&lt;Assumptions!$C$48,Assumptions!$C$49*Model!G38,Assumptions!$C$50*G38)))</f>
        <v>0</v>
      </c>
      <c r="H79" s="16">
        <f>MAX(0,MIN(H76+H77-H78,IF(H$6&lt;Assumptions!$C$48,Assumptions!$C$49*Model!H38,Assumptions!$C$50*H38)))</f>
        <v>0</v>
      </c>
      <c r="I79" s="16">
        <f>MAX(0,MIN(I76+I77-I78,IF(I$6&lt;Assumptions!$C$48,Assumptions!$C$49*Model!I38,Assumptions!$C$50*I38)))</f>
        <v>0</v>
      </c>
      <c r="J79" s="16">
        <f>MAX(0,MIN(J76+J77-J78,IF(J$6&lt;Assumptions!$C$48,Assumptions!$C$49*Model!J38,Assumptions!$C$50*J38)))</f>
        <v>0</v>
      </c>
      <c r="K79" s="16">
        <f>MAX(0,MIN(K76+K77-K78,IF(K$6&lt;Assumptions!$C$48,Assumptions!$C$49*Model!K38,Assumptions!$C$50*K38)))</f>
        <v>0</v>
      </c>
      <c r="L79" s="16">
        <f>MAX(0,MIN(L76+L77-L78,IF(L$6&lt;Assumptions!$C$48,Assumptions!$C$49*Model!L38,Assumptions!$C$50*L38)))</f>
        <v>14288.171024873271</v>
      </c>
      <c r="M79" s="16">
        <f>MAX(0,MIN(M76+M77-M78,IF(M$6&lt;Assumptions!$C$48,Assumptions!$C$49*Model!M38,Assumptions!$C$50*M38)))</f>
        <v>34287.200479488471</v>
      </c>
      <c r="N79" s="16">
        <f>MAX(0,MIN(N76+N77-N78,IF(N$6&lt;Assumptions!$C$48,Assumptions!$C$49*Model!N38,Assumptions!$C$50*N38)))</f>
        <v>54406.294148775283</v>
      </c>
      <c r="O79" s="16">
        <f>MAX(0,MIN(O76+O77-O78,IF(O$6&lt;Assumptions!$C$48,Assumptions!$C$49*Model!O38,Assumptions!$C$50*O38)))</f>
        <v>50648.183445437811</v>
      </c>
      <c r="P79" s="16">
        <f>MAX(0,MIN(P76+P77-P78,IF(P$6&lt;Assumptions!$C$48,Assumptions!$C$49*Model!P38,Assumptions!$C$50*P38)))</f>
        <v>60000</v>
      </c>
      <c r="Q79" s="16">
        <f>MAX(0,MIN(Q76+Q77-Q78,IF(Q$6&lt;Assumptions!$C$48,Assumptions!$C$49*Model!Q38,Assumptions!$C$50*Q38)))</f>
        <v>60000</v>
      </c>
      <c r="R79" s="16">
        <f>MAX(0,MIN(R76+R77-R78,IF(R$6&lt;Assumptions!$C$48,Assumptions!$C$49*Model!R38,Assumptions!$C$50*R38)))</f>
        <v>60000</v>
      </c>
      <c r="S79" s="16">
        <f>MAX(0,MIN(S76+S77-S78,IF(S$6&lt;Assumptions!$C$48,Assumptions!$C$49*Model!S38,Assumptions!$C$50*S38)))</f>
        <v>60000</v>
      </c>
      <c r="T79" s="16">
        <f>MAX(0,MIN(T76+T77-T78,IF(T$6&lt;Assumptions!$C$48,Assumptions!$C$49*Model!T38,Assumptions!$C$50*T38)))</f>
        <v>60000</v>
      </c>
      <c r="U79" s="16">
        <f>MAX(0,MIN(U76+U77-U78,IF(U$6&lt;Assumptions!$C$48,Assumptions!$C$49*Model!U38,Assumptions!$C$50*U38)))</f>
        <v>60000</v>
      </c>
      <c r="V79" s="16">
        <f>MAX(0,MIN(V76+V77-V78,IF(V$6&lt;Assumptions!$C$48,Assumptions!$C$49*Model!V38,Assumptions!$C$50*V38)))</f>
        <v>60000</v>
      </c>
      <c r="W79" s="16">
        <f>MAX(0,MIN(W76+W77-W78,IF(W$6&lt;Assumptions!$C$48,Assumptions!$C$49*Model!W38,Assumptions!$C$50*W38)))</f>
        <v>60000</v>
      </c>
      <c r="X79" s="16">
        <f>MAX(0,MIN(X76+X77-X78,IF(X$6&lt;Assumptions!$C$48,Assumptions!$C$49*Model!X38,Assumptions!$C$50*X38)))</f>
        <v>60000</v>
      </c>
      <c r="Y79" s="16">
        <f>MAX(0,MIN(Y76+Y77-Y78,IF(Y$6&lt;Assumptions!$C$48,Assumptions!$C$49*Model!Y38,Assumptions!$C$50*Y38)))</f>
        <v>60000</v>
      </c>
    </row>
    <row r="80" spans="2:25" x14ac:dyDescent="0.3">
      <c r="B80" t="s">
        <v>100</v>
      </c>
      <c r="E80" s="16">
        <f>MIN(D84,E12)</f>
        <v>0</v>
      </c>
      <c r="F80" s="16">
        <f t="shared" ref="F80:Y80" si="35">MIN(E84,F12)</f>
        <v>0</v>
      </c>
      <c r="G80" s="16">
        <f t="shared" si="35"/>
        <v>0</v>
      </c>
      <c r="H80" s="16">
        <f t="shared" si="35"/>
        <v>0</v>
      </c>
      <c r="I80" s="16">
        <f t="shared" si="35"/>
        <v>0</v>
      </c>
      <c r="J80" s="16">
        <f t="shared" si="35"/>
        <v>0</v>
      </c>
      <c r="K80" s="16">
        <f t="shared" si="35"/>
        <v>0</v>
      </c>
      <c r="L80" s="16">
        <f t="shared" si="35"/>
        <v>0</v>
      </c>
      <c r="M80" s="16">
        <f t="shared" si="35"/>
        <v>0</v>
      </c>
      <c r="N80" s="16">
        <f t="shared" si="35"/>
        <v>0</v>
      </c>
      <c r="O80" s="16">
        <f t="shared" si="35"/>
        <v>0</v>
      </c>
      <c r="P80" s="16">
        <f t="shared" si="35"/>
        <v>0</v>
      </c>
      <c r="Q80" s="16">
        <f t="shared" si="35"/>
        <v>0</v>
      </c>
      <c r="R80" s="16">
        <f t="shared" si="35"/>
        <v>0</v>
      </c>
      <c r="S80" s="16">
        <f t="shared" si="35"/>
        <v>97873.364818742033</v>
      </c>
      <c r="T80" s="16">
        <f t="shared" si="35"/>
        <v>0</v>
      </c>
      <c r="U80" s="16">
        <f t="shared" si="35"/>
        <v>260195.19213119335</v>
      </c>
      <c r="V80" s="16">
        <f t="shared" si="35"/>
        <v>0</v>
      </c>
      <c r="W80" s="16">
        <f t="shared" si="35"/>
        <v>418028.74220242491</v>
      </c>
      <c r="X80" s="16">
        <f t="shared" si="35"/>
        <v>358184.43977663055</v>
      </c>
      <c r="Y80" s="16">
        <f t="shared" si="35"/>
        <v>0</v>
      </c>
    </row>
    <row r="81" spans="2:25" x14ac:dyDescent="0.3">
      <c r="B81" t="s">
        <v>101</v>
      </c>
      <c r="E81" s="16">
        <f>E76+E77-SUM(E78:E80)</f>
        <v>0</v>
      </c>
      <c r="F81" s="16">
        <f>F76+F77-SUM(F78:F80)</f>
        <v>0</v>
      </c>
      <c r="G81" s="16">
        <f t="shared" ref="G81:Y81" si="36">G76+G77-SUM(G78:G80)</f>
        <v>0</v>
      </c>
      <c r="H81" s="16">
        <f t="shared" si="36"/>
        <v>0</v>
      </c>
      <c r="I81" s="16">
        <f t="shared" si="36"/>
        <v>0</v>
      </c>
      <c r="J81" s="16">
        <f t="shared" si="36"/>
        <v>0</v>
      </c>
      <c r="K81" s="16">
        <f t="shared" si="36"/>
        <v>0</v>
      </c>
      <c r="L81" s="16">
        <f t="shared" si="36"/>
        <v>0</v>
      </c>
      <c r="M81" s="16">
        <f t="shared" si="36"/>
        <v>0</v>
      </c>
      <c r="N81" s="16">
        <f t="shared" si="36"/>
        <v>0</v>
      </c>
      <c r="O81" s="16">
        <f t="shared" si="36"/>
        <v>0</v>
      </c>
      <c r="P81" s="16">
        <f t="shared" si="36"/>
        <v>92006.063923727197</v>
      </c>
      <c r="Q81" s="16">
        <f t="shared" si="36"/>
        <v>197376.05555592786</v>
      </c>
      <c r="R81" s="16">
        <f t="shared" si="36"/>
        <v>240614.71335680463</v>
      </c>
      <c r="S81" s="16">
        <f t="shared" si="36"/>
        <v>308359.2186881174</v>
      </c>
      <c r="T81" s="16">
        <f t="shared" si="36"/>
        <v>406513.88879522396</v>
      </c>
      <c r="U81" s="16">
        <f t="shared" si="36"/>
        <v>391905.36532726185</v>
      </c>
      <c r="V81" s="16">
        <f t="shared" si="36"/>
        <v>568142.64749329502</v>
      </c>
      <c r="W81" s="16">
        <f t="shared" si="36"/>
        <v>510281.76222622674</v>
      </c>
      <c r="X81" s="16">
        <f t="shared" si="36"/>
        <v>432534.76092826115</v>
      </c>
      <c r="Y81" s="16">
        <f t="shared" si="36"/>
        <v>790484.2876781004</v>
      </c>
    </row>
    <row r="82" spans="2:25" x14ac:dyDescent="0.3">
      <c r="B82" t="s">
        <v>113</v>
      </c>
      <c r="E82" s="16">
        <f>SUM(F78:F79)</f>
        <v>0</v>
      </c>
      <c r="F82" s="16">
        <f t="shared" ref="F82:Y82" si="37">SUM(G78:G79)</f>
        <v>0</v>
      </c>
      <c r="G82" s="16">
        <f t="shared" si="37"/>
        <v>0</v>
      </c>
      <c r="H82" s="16">
        <f t="shared" si="37"/>
        <v>0</v>
      </c>
      <c r="I82" s="16">
        <f t="shared" si="37"/>
        <v>0</v>
      </c>
      <c r="J82" s="16">
        <f t="shared" si="37"/>
        <v>0</v>
      </c>
      <c r="K82" s="16">
        <f t="shared" si="37"/>
        <v>14288.171024873271</v>
      </c>
      <c r="L82" s="16">
        <f t="shared" si="37"/>
        <v>34287.200479488471</v>
      </c>
      <c r="M82" s="16">
        <f t="shared" si="37"/>
        <v>54406.294148775283</v>
      </c>
      <c r="N82" s="16">
        <f t="shared" si="37"/>
        <v>74648.183445437811</v>
      </c>
      <c r="O82" s="16">
        <f t="shared" si="37"/>
        <v>84000</v>
      </c>
      <c r="P82" s="16">
        <f t="shared" si="37"/>
        <v>84000</v>
      </c>
      <c r="Q82" s="16">
        <f t="shared" si="37"/>
        <v>84000</v>
      </c>
      <c r="R82" s="16">
        <f t="shared" si="37"/>
        <v>84000</v>
      </c>
      <c r="S82" s="16">
        <f t="shared" si="37"/>
        <v>84000</v>
      </c>
      <c r="T82" s="16">
        <f t="shared" si="37"/>
        <v>84000</v>
      </c>
      <c r="U82" s="16">
        <f t="shared" si="37"/>
        <v>84000</v>
      </c>
      <c r="V82" s="16">
        <f t="shared" si="37"/>
        <v>84000</v>
      </c>
      <c r="W82" s="16">
        <f t="shared" si="37"/>
        <v>84000</v>
      </c>
      <c r="X82" s="16">
        <f t="shared" si="37"/>
        <v>84000</v>
      </c>
      <c r="Y82" s="16">
        <f t="shared" si="37"/>
        <v>0</v>
      </c>
    </row>
    <row r="83" spans="2:25" x14ac:dyDescent="0.3">
      <c r="B83" t="s">
        <v>102</v>
      </c>
      <c r="E83" s="16">
        <f>Assumptions!$C$67*Model!E97</f>
        <v>40000</v>
      </c>
      <c r="F83" s="16">
        <f>Assumptions!$C$67*Model!F97</f>
        <v>41200</v>
      </c>
      <c r="G83" s="16">
        <f>Assumptions!$C$67*Model!G97</f>
        <v>42436</v>
      </c>
      <c r="H83" s="16">
        <f>Assumptions!$C$67*Model!H97</f>
        <v>43709.08</v>
      </c>
      <c r="I83" s="16">
        <f>Assumptions!$C$67*Model!I97</f>
        <v>45020.352400000003</v>
      </c>
      <c r="J83" s="16">
        <f>Assumptions!$C$67*Model!J97</f>
        <v>46370.962972000001</v>
      </c>
      <c r="K83" s="16">
        <f>Assumptions!$C$67*Model!K97</f>
        <v>47762.091861160006</v>
      </c>
      <c r="L83" s="16">
        <f>Assumptions!$C$67*Model!L97</f>
        <v>49194.954616994808</v>
      </c>
      <c r="M83" s="16">
        <f>Assumptions!$C$67*Model!M97</f>
        <v>50670.803255504652</v>
      </c>
      <c r="N83" s="16">
        <f>Assumptions!$C$67*Model!N97</f>
        <v>52190.927353169798</v>
      </c>
      <c r="O83" s="16">
        <f>Assumptions!$C$67*Model!O97</f>
        <v>53756.655173764892</v>
      </c>
      <c r="P83" s="16">
        <f>Assumptions!$C$67*Model!P97</f>
        <v>55369.354828977834</v>
      </c>
      <c r="Q83" s="16">
        <f>Assumptions!$C$67*Model!Q97</f>
        <v>57030.435473847174</v>
      </c>
      <c r="R83" s="16">
        <f>Assumptions!$C$67*Model!R97</f>
        <v>58741.348538062593</v>
      </c>
      <c r="S83" s="16">
        <f>Assumptions!$C$67*Model!S97</f>
        <v>60503.588994204474</v>
      </c>
      <c r="T83" s="16">
        <f>Assumptions!$C$67*Model!T97</f>
        <v>62318.696664030613</v>
      </c>
      <c r="U83" s="16">
        <f>Assumptions!$C$67*Model!U97</f>
        <v>64188.257563951534</v>
      </c>
      <c r="V83" s="16">
        <f>Assumptions!$C$67*Model!V97</f>
        <v>66113.905290870083</v>
      </c>
      <c r="W83" s="16">
        <f>Assumptions!$C$67*Model!W97</f>
        <v>68097.322449596177</v>
      </c>
      <c r="X83" s="16">
        <f>Assumptions!$C$67*Model!X97</f>
        <v>70140.24212308407</v>
      </c>
      <c r="Y83" s="16">
        <f>Assumptions!$C$67*Model!Y97</f>
        <v>72244.4493867766</v>
      </c>
    </row>
    <row r="84" spans="2:25" x14ac:dyDescent="0.3">
      <c r="B84" t="s">
        <v>114</v>
      </c>
      <c r="E84" s="16">
        <f>MAX(0,E81-SUM(E82:E83))</f>
        <v>0</v>
      </c>
      <c r="F84" s="16">
        <f t="shared" ref="F84:Y84" si="38">MAX(0,F81-SUM(F82:F83))</f>
        <v>0</v>
      </c>
      <c r="G84" s="16">
        <f t="shared" si="38"/>
        <v>0</v>
      </c>
      <c r="H84" s="16">
        <f t="shared" si="38"/>
        <v>0</v>
      </c>
      <c r="I84" s="16">
        <f t="shared" si="38"/>
        <v>0</v>
      </c>
      <c r="J84" s="16">
        <f t="shared" si="38"/>
        <v>0</v>
      </c>
      <c r="K84" s="16">
        <f t="shared" si="38"/>
        <v>0</v>
      </c>
      <c r="L84" s="16">
        <f t="shared" si="38"/>
        <v>0</v>
      </c>
      <c r="M84" s="16">
        <f t="shared" si="38"/>
        <v>0</v>
      </c>
      <c r="N84" s="16">
        <f t="shared" si="38"/>
        <v>0</v>
      </c>
      <c r="O84" s="16">
        <f t="shared" si="38"/>
        <v>0</v>
      </c>
      <c r="P84" s="16">
        <f t="shared" si="38"/>
        <v>0</v>
      </c>
      <c r="Q84" s="16">
        <f t="shared" si="38"/>
        <v>56345.620082080684</v>
      </c>
      <c r="R84" s="16">
        <f t="shared" si="38"/>
        <v>97873.364818742033</v>
      </c>
      <c r="S84" s="16">
        <f t="shared" si="38"/>
        <v>163855.62969391292</v>
      </c>
      <c r="T84" s="16">
        <f t="shared" si="38"/>
        <v>260195.19213119335</v>
      </c>
      <c r="U84" s="16">
        <f t="shared" si="38"/>
        <v>243717.10776331031</v>
      </c>
      <c r="V84" s="16">
        <f t="shared" si="38"/>
        <v>418028.74220242491</v>
      </c>
      <c r="W84" s="16">
        <f t="shared" si="38"/>
        <v>358184.43977663055</v>
      </c>
      <c r="X84" s="16">
        <f t="shared" si="38"/>
        <v>278394.51880517707</v>
      </c>
      <c r="Y84" s="16">
        <f t="shared" si="38"/>
        <v>718239.83829132374</v>
      </c>
    </row>
    <row r="85" spans="2:25" x14ac:dyDescent="0.3">
      <c r="E85" s="2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7" spans="2:25" x14ac:dyDescent="0.3">
      <c r="B87" t="s">
        <v>115</v>
      </c>
      <c r="E87" s="16">
        <f>E33+E34+D84+D55+MIN(E43,(E33+E34+D84+D55)*(Assumptions!$C$55/(1-Assumptions!$C$55)))</f>
        <v>0</v>
      </c>
      <c r="F87" s="16">
        <f>F33+F34+E84+E55+MIN(F43,(F33+F34+E84+E55)*(Assumptions!$C$55/(1-Assumptions!$C$55)))</f>
        <v>400000</v>
      </c>
      <c r="G87" s="16">
        <f>G33+G34+F84+F55+MIN(G43,(G33+G34+F84+F55)*(Assumptions!$C$55/(1-Assumptions!$C$55)))</f>
        <v>400000</v>
      </c>
      <c r="H87" s="16">
        <f>H33+H34+G84+G55+MIN(H43,(H33+H34+G84+G55)*(Assumptions!$C$55/(1-Assumptions!$C$55)))</f>
        <v>400000</v>
      </c>
      <c r="I87" s="16">
        <f>I33+I34+H84+H55+MIN(I43,(I33+I34+H84+H55)*(Assumptions!$C$55/(1-Assumptions!$C$55)))</f>
        <v>400000</v>
      </c>
      <c r="J87" s="16">
        <f>J33+J34+I84+I55+MIN(J43,(J33+J34+I84+I55)*(Assumptions!$C$55/(1-Assumptions!$C$55)))</f>
        <v>400000</v>
      </c>
      <c r="K87" s="16">
        <f>K33+K34+J84+J55+MIN(K43,(K33+K34+J84+J55)*(Assumptions!$C$55/(1-Assumptions!$C$55)))</f>
        <v>0</v>
      </c>
      <c r="L87" s="16">
        <f>L33+L34+K84+K55+MIN(L43,(L33+L34+K84+K55)*(Assumptions!$C$55/(1-Assumptions!$C$55)))</f>
        <v>0</v>
      </c>
      <c r="M87" s="16">
        <f>M33+M34+L84+L55+MIN(M43,(M33+M34+L84+L55)*(Assumptions!$C$55/(1-Assumptions!$C$55)))</f>
        <v>0</v>
      </c>
      <c r="N87" s="16">
        <f>N33+N34+M84+M55+MIN(N43,(N33+N34+M84+M55)*(Assumptions!$C$55/(1-Assumptions!$C$55)))</f>
        <v>0</v>
      </c>
      <c r="O87" s="16">
        <f>O33+O34+N84+N55+MIN(O43,(O33+O34+N84+N55)*(Assumptions!$C$55/(1-Assumptions!$C$55)))</f>
        <v>0</v>
      </c>
      <c r="P87" s="16">
        <f>P33+P34+O84+O55+MIN(P43,(P33+P34+O84+O55)*(Assumptions!$C$55/(1-Assumptions!$C$55)))</f>
        <v>91438.669272817671</v>
      </c>
      <c r="Q87" s="16">
        <f>Q33+Q34+P84+P55+MIN(Q43,(Q33+Q34+P84+P55)*(Assumptions!$C$55/(1-Assumptions!$C$55)))</f>
        <v>310137.2216917444</v>
      </c>
      <c r="R87" s="16">
        <f>R33+R34+Q84+Q55+MIN(R43,(R33+R34+Q84+Q55)*(Assumptions!$C$55/(1-Assumptions!$C$55)))</f>
        <v>56345.620082080684</v>
      </c>
      <c r="S87" s="16">
        <f>S33+S34+R84+R55+MIN(S43,(S33+S34+R84+R55)*(Assumptions!$C$55/(1-Assumptions!$C$55)))</f>
        <v>391740.56541592395</v>
      </c>
      <c r="T87" s="16">
        <f>T33+T34+S84+S55+MIN(T43,(T33+T34+S84+S55)*(Assumptions!$C$55/(1-Assumptions!$C$55)))</f>
        <v>163855.62969391292</v>
      </c>
      <c r="U87" s="16">
        <f>U33+U34+T84+T55+MIN(U43,(U33+U34+T84+T55)*(Assumptions!$C$55/(1-Assumptions!$C$55)))</f>
        <v>587932.10105188377</v>
      </c>
      <c r="V87" s="16">
        <f>V33+V34+U84+U55+MIN(V43,(V33+V34+U84+U55)*(Assumptions!$C$55/(1-Assumptions!$C$55)))</f>
        <v>243717.10776331031</v>
      </c>
      <c r="W87" s="16">
        <f>W33+W34+V84+V55+MIN(W43,(W33+W34+V84+V55)*(Assumptions!$C$55/(1-Assumptions!$C$55)))</f>
        <v>703021.84875722183</v>
      </c>
      <c r="X87" s="16">
        <f>X33+X34+W84+W55+MIN(X43,(X33+X34+W84+W55)*(Assumptions!$C$55/(1-Assumptions!$C$55)))</f>
        <v>358184.43977663055</v>
      </c>
      <c r="Y87" s="16">
        <f>Y33+Y34+X84+X55+MIN(Y43,(Y33+Y34+X84+X55)*(Assumptions!$C$55/(1-Assumptions!$C$55)))</f>
        <v>278394.51880517707</v>
      </c>
    </row>
    <row r="88" spans="2:25" x14ac:dyDescent="0.3">
      <c r="B88" t="s">
        <v>35</v>
      </c>
      <c r="E88" s="16">
        <f>E49+E33+E34+(E33+E34)*(Assumptions!$C$55/(1-Assumptions!$C$55))</f>
        <v>0</v>
      </c>
      <c r="F88" s="16">
        <f>F87+F87*(Assumptions!$C$59/(1-Assumptions!$C$59))</f>
        <v>2000000.0000000005</v>
      </c>
      <c r="G88" s="16">
        <f>G87+G87*(Assumptions!$C$59/(1-Assumptions!$C$59))</f>
        <v>2000000.0000000005</v>
      </c>
      <c r="H88" s="16">
        <f>H87+H87*(Assumptions!$C$59/(1-Assumptions!$C$59))</f>
        <v>2000000.0000000005</v>
      </c>
      <c r="I88" s="16">
        <f>I87+I87*(Assumptions!$C$59/(1-Assumptions!$C$59))</f>
        <v>2000000.0000000005</v>
      </c>
      <c r="J88" s="16">
        <f>J87+J87*(Assumptions!$C$59/(1-Assumptions!$C$59))</f>
        <v>2000000.0000000005</v>
      </c>
      <c r="K88" s="16">
        <f>K87+K87*(Assumptions!$C$59/(1-Assumptions!$C$59))</f>
        <v>0</v>
      </c>
      <c r="L88" s="16">
        <f>L87+L87*(Assumptions!$C$59/(1-Assumptions!$C$59))</f>
        <v>0</v>
      </c>
      <c r="M88" s="16">
        <f>M87+M87*(Assumptions!$C$59/(1-Assumptions!$C$59))</f>
        <v>0</v>
      </c>
      <c r="N88" s="16">
        <f>N87+N87*(Assumptions!$C$59/(1-Assumptions!$C$59))</f>
        <v>0</v>
      </c>
      <c r="O88" s="16">
        <f>O87+O87*(Assumptions!$C$59/(1-Assumptions!$C$59))</f>
        <v>0</v>
      </c>
      <c r="P88" s="16">
        <f>P87+P87*(Assumptions!$C$59/(1-Assumptions!$C$59))</f>
        <v>457193.34636408841</v>
      </c>
      <c r="Q88" s="16">
        <f>Q87+Q87*(Assumptions!$C$59/(1-Assumptions!$C$59))</f>
        <v>1550686.1084587222</v>
      </c>
      <c r="R88" s="16">
        <f>R87+R87*(Assumptions!$C$59/(1-Assumptions!$C$59))</f>
        <v>281728.10041040345</v>
      </c>
      <c r="S88" s="16">
        <f>S87+S87*(Assumptions!$C$59/(1-Assumptions!$C$59))</f>
        <v>1958702.82707962</v>
      </c>
      <c r="T88" s="16">
        <f>T87+T87*(Assumptions!$C$59/(1-Assumptions!$C$59))</f>
        <v>819278.14846956474</v>
      </c>
      <c r="U88" s="16">
        <f>U87+U87*(Assumptions!$C$59/(1-Assumptions!$C$59))</f>
        <v>2939660.5052594193</v>
      </c>
      <c r="V88" s="16">
        <f>V87+V87*(Assumptions!$C$59/(1-Assumptions!$C$59))</f>
        <v>1218585.5388165517</v>
      </c>
      <c r="W88" s="16">
        <f>W87+W87*(Assumptions!$C$59/(1-Assumptions!$C$59))</f>
        <v>3515109.2437861096</v>
      </c>
      <c r="X88" s="16">
        <f>X87+X87*(Assumptions!$C$59/(1-Assumptions!$C$59))</f>
        <v>1790922.198883153</v>
      </c>
      <c r="Y88" s="16">
        <f>Y87+Y87*(Assumptions!$C$59/(1-Assumptions!$C$59))</f>
        <v>1391972.5940258857</v>
      </c>
    </row>
    <row r="90" spans="2:25" x14ac:dyDescent="0.3">
      <c r="B90" t="s">
        <v>117</v>
      </c>
      <c r="E90" s="16">
        <f>E27</f>
        <v>0</v>
      </c>
      <c r="F90" s="16">
        <f t="shared" ref="F90:Y90" si="39">F27</f>
        <v>1822222.2222222227</v>
      </c>
      <c r="G90" s="16">
        <f t="shared" si="39"/>
        <v>3699111.1111111124</v>
      </c>
      <c r="H90" s="16">
        <f t="shared" si="39"/>
        <v>5632306.6666666679</v>
      </c>
      <c r="I90" s="16">
        <f t="shared" si="39"/>
        <v>7623498.088888891</v>
      </c>
      <c r="J90" s="16">
        <f t="shared" si="39"/>
        <v>9674425.2537777796</v>
      </c>
      <c r="K90" s="16">
        <f t="shared" si="39"/>
        <v>9964658.0113911126</v>
      </c>
      <c r="L90" s="16">
        <f t="shared" si="39"/>
        <v>10263597.751732847</v>
      </c>
      <c r="M90" s="16">
        <f t="shared" si="39"/>
        <v>10571505.684284834</v>
      </c>
      <c r="N90" s="16">
        <f t="shared" si="39"/>
        <v>10888650.854813378</v>
      </c>
      <c r="O90" s="16">
        <f t="shared" si="39"/>
        <v>11215310.380457779</v>
      </c>
      <c r="P90" s="16">
        <f t="shared" si="39"/>
        <v>11551769.691871513</v>
      </c>
      <c r="Q90" s="16">
        <f t="shared" si="39"/>
        <v>13311170.125890048</v>
      </c>
      <c r="R90" s="16">
        <f t="shared" si="39"/>
        <v>13710505.229666753</v>
      </c>
      <c r="S90" s="16">
        <f t="shared" si="39"/>
        <v>15906416.295673741</v>
      </c>
      <c r="T90" s="16">
        <f t="shared" si="39"/>
        <v>16383608.784543956</v>
      </c>
      <c r="U90" s="16">
        <f t="shared" si="39"/>
        <v>19553474.397316635</v>
      </c>
      <c r="V90" s="16">
        <f t="shared" si="39"/>
        <v>20140078.629236132</v>
      </c>
      <c r="W90" s="16">
        <f t="shared" si="39"/>
        <v>23946936.076896112</v>
      </c>
      <c r="X90" s="16">
        <f t="shared" si="39"/>
        <v>26297073.273740984</v>
      </c>
      <c r="Y90" s="16">
        <f t="shared" si="39"/>
        <v>27085985.471953213</v>
      </c>
    </row>
    <row r="91" spans="2:25" x14ac:dyDescent="0.3">
      <c r="B91" t="s">
        <v>118</v>
      </c>
      <c r="E91" s="16">
        <f t="shared" ref="E91:Y91" si="40">E27+E81-E53-E46</f>
        <v>0</v>
      </c>
      <c r="F91" s="16">
        <f t="shared" si="40"/>
        <v>-17777.777777777752</v>
      </c>
      <c r="G91" s="16">
        <f t="shared" si="40"/>
        <v>31681.111111111473</v>
      </c>
      <c r="H91" s="16">
        <f t="shared" si="40"/>
        <v>147852.616666666</v>
      </c>
      <c r="I91" s="16">
        <f t="shared" si="40"/>
        <v>330227.46163888951</v>
      </c>
      <c r="J91" s="16">
        <f t="shared" si="40"/>
        <v>578311.08918152843</v>
      </c>
      <c r="K91" s="16">
        <f t="shared" si="40"/>
        <v>909401.39395558042</v>
      </c>
      <c r="L91" s="16">
        <f t="shared" si="40"/>
        <v>1238018.681187548</v>
      </c>
      <c r="M91" s="16">
        <f t="shared" si="40"/>
        <v>1564236.3481909297</v>
      </c>
      <c r="N91" s="16">
        <f t="shared" si="40"/>
        <v>1888127.5878907244</v>
      </c>
      <c r="O91" s="16">
        <f t="shared" si="40"/>
        <v>2209765.4178239577</v>
      </c>
      <c r="P91" s="16">
        <f t="shared" si="40"/>
        <v>2486256.6531891664</v>
      </c>
      <c r="Q91" s="16">
        <f t="shared" si="40"/>
        <v>2639809.5151670538</v>
      </c>
      <c r="R91" s="16">
        <f t="shared" si="40"/>
        <v>3069521.1932050767</v>
      </c>
      <c r="S91" s="16">
        <f t="shared" si="40"/>
        <v>3283330.0253079631</v>
      </c>
      <c r="T91" s="16">
        <f t="shared" si="40"/>
        <v>3844540.38562566</v>
      </c>
      <c r="U91" s="16">
        <f t="shared" si="40"/>
        <v>4095248.3038037247</v>
      </c>
      <c r="V91" s="16">
        <f t="shared" si="40"/>
        <v>4845730.3560036868</v>
      </c>
      <c r="W91" s="16">
        <f t="shared" si="40"/>
        <v>5223716.3725287728</v>
      </c>
      <c r="X91" s="16">
        <f t="shared" si="40"/>
        <v>6048356.5982154142</v>
      </c>
      <c r="Y91" s="16">
        <f t="shared" si="40"/>
        <v>7166270.5602994021</v>
      </c>
    </row>
    <row r="92" spans="2:25" x14ac:dyDescent="0.3">
      <c r="B92" t="s">
        <v>126</v>
      </c>
      <c r="E92" s="39" t="str">
        <f>IFERROR((E$91*Assumptions!$H$39)/(E$40*Assumptions!$G$39),"")</f>
        <v/>
      </c>
      <c r="F92" s="39">
        <f>IFERROR((F$91*Assumptions!$H$39)/(F$40*Assumptions!$G$39),"")</f>
        <v>-0.44444444444444381</v>
      </c>
      <c r="G92" s="39">
        <f>IFERROR((G$91*Assumptions!$H$39)/(G$40*Assumptions!$G$39),"")</f>
        <v>0.39601388888889344</v>
      </c>
      <c r="H92" s="39">
        <f>IFERROR((H$91*Assumptions!$H$39)/(H$40*Assumptions!$G$39),"")</f>
        <v>1.2321051388888833</v>
      </c>
      <c r="I92" s="39">
        <f>IFERROR((I$91*Assumptions!$H$39)/(I$40*Assumptions!$G$39),"")</f>
        <v>2.0639216352430596</v>
      </c>
      <c r="J92" s="39">
        <f>IFERROR((J$91*Assumptions!$H$39)/(J$40*Assumptions!$G$39),"")</f>
        <v>2.8915554459076422</v>
      </c>
      <c r="K92" s="39">
        <f>IFERROR((K$91*Assumptions!$H$39)/(K$40*Assumptions!$G$39),"")</f>
        <v>4.5470069697779021</v>
      </c>
      <c r="L92" s="39">
        <f>IFERROR((L$91*Assumptions!$H$39)/(L$40*Assumptions!$G$39),"")</f>
        <v>6.1900934059377395</v>
      </c>
      <c r="M92" s="39">
        <f>IFERROR((M$91*Assumptions!$H$39)/(M$40*Assumptions!$G$39),"")</f>
        <v>7.8211817409546489</v>
      </c>
      <c r="N92" s="39">
        <f>IFERROR((N$91*Assumptions!$H$39)/(N$40*Assumptions!$G$39),"")</f>
        <v>9.4406379394536213</v>
      </c>
      <c r="O92" s="39">
        <f>IFERROR((O$91*Assumptions!$H$39)/(O$40*Assumptions!$G$39),"")</f>
        <v>11.048827089119788</v>
      </c>
      <c r="P92" s="39">
        <f>IFERROR((P$91*Assumptions!$H$39)/(P$40*Assumptions!$G$39),"")</f>
        <v>12.431283265945833</v>
      </c>
      <c r="Q92" s="39">
        <f>IFERROR((Q$91*Assumptions!$H$39)/(Q$40*Assumptions!$G$39),"")</f>
        <v>13.199047575835269</v>
      </c>
      <c r="R92" s="39">
        <f>IFERROR((R$91*Assumptions!$H$39)/(R$40*Assumptions!$G$39),"")</f>
        <v>15.347605966025384</v>
      </c>
      <c r="S92" s="39">
        <f>IFERROR((S$91*Assumptions!$H$39)/(S$40*Assumptions!$G$39),"")</f>
        <v>16.416650126539814</v>
      </c>
      <c r="T92" s="39">
        <f>IFERROR((T$91*Assumptions!$H$39)/(T$40*Assumptions!$G$39),"")</f>
        <v>19.222701928128298</v>
      </c>
      <c r="U92" s="39">
        <f>IFERROR((U$91*Assumptions!$H$39)/(U$40*Assumptions!$G$39),"")</f>
        <v>20.476241519018622</v>
      </c>
      <c r="V92" s="39">
        <f>IFERROR((V$91*Assumptions!$H$39)/(V$40*Assumptions!$G$39),"")</f>
        <v>24.228651780018435</v>
      </c>
      <c r="W92" s="39">
        <f>IFERROR((W$91*Assumptions!$H$39)/(W$40*Assumptions!$G$39),"")</f>
        <v>26.118581862643865</v>
      </c>
      <c r="X92" s="39">
        <f>IFERROR((X$91*Assumptions!$H$39)/(X$40*Assumptions!$G$39),"")</f>
        <v>30.24178299107707</v>
      </c>
      <c r="Y92" s="39">
        <f>IFERROR((Y$91*Assumptions!$H$39)/(Y$40*Assumptions!$G$39),"")</f>
        <v>35.831352801497012</v>
      </c>
    </row>
    <row r="93" spans="2:25" outlineLevel="1" x14ac:dyDescent="0.3">
      <c r="F93" s="16">
        <f>IF(AND(F92&gt;2,E92&lt;2),F6,0)</f>
        <v>0</v>
      </c>
      <c r="G93" s="16">
        <f t="shared" ref="G93:Y93" si="41">IF(AND(G92&gt;2,F92&lt;2),G6,0)</f>
        <v>0</v>
      </c>
      <c r="H93" s="16">
        <f t="shared" si="41"/>
        <v>0</v>
      </c>
      <c r="I93" s="16">
        <f t="shared" si="41"/>
        <v>4</v>
      </c>
      <c r="J93" s="16">
        <f t="shared" si="41"/>
        <v>0</v>
      </c>
      <c r="K93" s="16">
        <f t="shared" si="41"/>
        <v>0</v>
      </c>
      <c r="L93" s="16">
        <f t="shared" si="41"/>
        <v>0</v>
      </c>
      <c r="M93" s="16">
        <f t="shared" si="41"/>
        <v>0</v>
      </c>
      <c r="N93" s="16">
        <f t="shared" si="41"/>
        <v>0</v>
      </c>
      <c r="O93" s="16">
        <f t="shared" si="41"/>
        <v>0</v>
      </c>
      <c r="P93" s="16">
        <f t="shared" si="41"/>
        <v>0</v>
      </c>
      <c r="Q93" s="16">
        <f t="shared" si="41"/>
        <v>0</v>
      </c>
      <c r="R93" s="16">
        <f t="shared" si="41"/>
        <v>0</v>
      </c>
      <c r="S93" s="16">
        <f t="shared" si="41"/>
        <v>0</v>
      </c>
      <c r="T93" s="16">
        <f t="shared" si="41"/>
        <v>0</v>
      </c>
      <c r="U93" s="16">
        <f t="shared" si="41"/>
        <v>0</v>
      </c>
      <c r="V93" s="16">
        <f t="shared" si="41"/>
        <v>0</v>
      </c>
      <c r="W93" s="16">
        <f t="shared" si="41"/>
        <v>0</v>
      </c>
      <c r="X93" s="16">
        <f t="shared" si="41"/>
        <v>0</v>
      </c>
      <c r="Y93" s="16">
        <f t="shared" si="41"/>
        <v>0</v>
      </c>
    </row>
    <row r="94" spans="2:25" x14ac:dyDescent="0.3">
      <c r="B94" t="s">
        <v>127</v>
      </c>
      <c r="E94" s="39" t="str">
        <f t="shared" ref="E94:Y94" si="42">IFERROR(E$91/E$40,"")</f>
        <v/>
      </c>
      <c r="F94" s="39">
        <f t="shared" si="42"/>
        <v>-0.11111111111111095</v>
      </c>
      <c r="G94" s="39">
        <f t="shared" si="42"/>
        <v>9.900347222222336E-2</v>
      </c>
      <c r="H94" s="39">
        <f t="shared" si="42"/>
        <v>0.30802628472222082</v>
      </c>
      <c r="I94" s="39">
        <f t="shared" si="42"/>
        <v>0.5159804088107649</v>
      </c>
      <c r="J94" s="39">
        <f t="shared" si="42"/>
        <v>0.72288886147691056</v>
      </c>
      <c r="K94" s="39">
        <f t="shared" si="42"/>
        <v>1.1367517424444755</v>
      </c>
      <c r="L94" s="39">
        <f t="shared" si="42"/>
        <v>1.5475233514844349</v>
      </c>
      <c r="M94" s="39">
        <f t="shared" si="42"/>
        <v>1.9552954352386622</v>
      </c>
      <c r="N94" s="39">
        <f t="shared" si="42"/>
        <v>2.3601594848634053</v>
      </c>
      <c r="O94" s="39">
        <f t="shared" si="42"/>
        <v>2.762206772279947</v>
      </c>
      <c r="P94" s="39">
        <f t="shared" si="42"/>
        <v>3.1078208164864582</v>
      </c>
      <c r="Q94" s="39">
        <f t="shared" si="42"/>
        <v>3.2997618939588174</v>
      </c>
      <c r="R94" s="39">
        <f t="shared" si="42"/>
        <v>3.836901491506346</v>
      </c>
      <c r="S94" s="39">
        <f t="shared" si="42"/>
        <v>4.1041625316349535</v>
      </c>
      <c r="T94" s="39">
        <f t="shared" si="42"/>
        <v>4.8056754820320746</v>
      </c>
      <c r="U94" s="39">
        <f t="shared" si="42"/>
        <v>5.1190603797546554</v>
      </c>
      <c r="V94" s="39">
        <f t="shared" si="42"/>
        <v>6.0571629450046087</v>
      </c>
      <c r="W94" s="39">
        <f t="shared" si="42"/>
        <v>6.5296454656609662</v>
      </c>
      <c r="X94" s="39">
        <f t="shared" si="42"/>
        <v>7.5604457477692675</v>
      </c>
      <c r="Y94" s="39">
        <f t="shared" si="42"/>
        <v>8.9578382003742529</v>
      </c>
    </row>
    <row r="95" spans="2:25" outlineLevel="1" x14ac:dyDescent="0.3">
      <c r="F95" s="16">
        <f>IF(AND(F94&gt;2,E94&lt;2),F6,0)</f>
        <v>0</v>
      </c>
      <c r="G95" s="16">
        <f t="shared" ref="G95:Y95" si="43">IF(AND(G94&gt;2,F94&lt;2),G6,0)</f>
        <v>0</v>
      </c>
      <c r="H95" s="16">
        <f t="shared" si="43"/>
        <v>0</v>
      </c>
      <c r="I95" s="16">
        <f t="shared" si="43"/>
        <v>0</v>
      </c>
      <c r="J95" s="16">
        <f t="shared" si="43"/>
        <v>0</v>
      </c>
      <c r="K95" s="16">
        <f t="shared" si="43"/>
        <v>0</v>
      </c>
      <c r="L95" s="16">
        <f t="shared" si="43"/>
        <v>0</v>
      </c>
      <c r="M95" s="16">
        <f t="shared" si="43"/>
        <v>0</v>
      </c>
      <c r="N95" s="16">
        <f t="shared" si="43"/>
        <v>9</v>
      </c>
      <c r="O95" s="16">
        <f t="shared" si="43"/>
        <v>0</v>
      </c>
      <c r="P95" s="16">
        <f t="shared" si="43"/>
        <v>0</v>
      </c>
      <c r="Q95" s="16">
        <f t="shared" si="43"/>
        <v>0</v>
      </c>
      <c r="R95" s="16">
        <f t="shared" si="43"/>
        <v>0</v>
      </c>
      <c r="S95" s="16">
        <f t="shared" si="43"/>
        <v>0</v>
      </c>
      <c r="T95" s="16">
        <f t="shared" si="43"/>
        <v>0</v>
      </c>
      <c r="U95" s="16">
        <f t="shared" si="43"/>
        <v>0</v>
      </c>
      <c r="V95" s="16">
        <f t="shared" si="43"/>
        <v>0</v>
      </c>
      <c r="W95" s="16">
        <f t="shared" si="43"/>
        <v>0</v>
      </c>
      <c r="X95" s="16">
        <f t="shared" si="43"/>
        <v>0</v>
      </c>
      <c r="Y95" s="16">
        <f t="shared" si="43"/>
        <v>0</v>
      </c>
    </row>
    <row r="97" spans="2:25" x14ac:dyDescent="0.3">
      <c r="B97" t="s">
        <v>34</v>
      </c>
      <c r="E97" s="17">
        <v>1</v>
      </c>
      <c r="F97" s="17">
        <f>E97*(1+Assumptions!$C$6)</f>
        <v>1.03</v>
      </c>
      <c r="G97" s="17">
        <f>F97*(1+Assumptions!$C$6)</f>
        <v>1.0609</v>
      </c>
      <c r="H97" s="17">
        <f>G97*(1+Assumptions!$C$6)</f>
        <v>1.092727</v>
      </c>
      <c r="I97" s="17">
        <f>H97*(1+Assumptions!$C$6)</f>
        <v>1.1255088100000001</v>
      </c>
      <c r="J97" s="17">
        <f>I97*(1+Assumptions!$C$6)</f>
        <v>1.1592740743000001</v>
      </c>
      <c r="K97" s="17">
        <f>J97*(1+Assumptions!$C$6)</f>
        <v>1.1940522965290001</v>
      </c>
      <c r="L97" s="17">
        <f>K97*(1+Assumptions!$C$6)</f>
        <v>1.2298738654248702</v>
      </c>
      <c r="M97" s="17">
        <f>L97*(1+Assumptions!$C$6)</f>
        <v>1.2667700813876164</v>
      </c>
      <c r="N97" s="17">
        <f>M97*(1+Assumptions!$C$6)</f>
        <v>1.3047731838292449</v>
      </c>
      <c r="O97" s="17">
        <f>N97*(1+Assumptions!$C$6)</f>
        <v>1.3439163793441222</v>
      </c>
      <c r="P97" s="17">
        <f>O97*(1+Assumptions!$C$6)</f>
        <v>1.3842338707244459</v>
      </c>
      <c r="Q97" s="17">
        <f>P97*(1+Assumptions!$C$6)</f>
        <v>1.4257608868461793</v>
      </c>
      <c r="R97" s="17">
        <f>Q97*(1+Assumptions!$C$6)</f>
        <v>1.4685337134515648</v>
      </c>
      <c r="S97" s="17">
        <f>R97*(1+Assumptions!$C$6)</f>
        <v>1.5125897248551119</v>
      </c>
      <c r="T97" s="17">
        <f>S97*(1+Assumptions!$C$6)</f>
        <v>1.5579674166007653</v>
      </c>
      <c r="U97" s="17">
        <f>T97*(1+Assumptions!$C$6)</f>
        <v>1.6047064390987884</v>
      </c>
      <c r="V97" s="17">
        <f>U97*(1+Assumptions!$C$6)</f>
        <v>1.652847632271752</v>
      </c>
      <c r="W97" s="17">
        <f>V97*(1+Assumptions!$C$6)</f>
        <v>1.7024330612399046</v>
      </c>
      <c r="X97" s="17">
        <f>W97*(1+Assumptions!$C$6)</f>
        <v>1.7535060530771018</v>
      </c>
      <c r="Y97" s="17">
        <f>X97*(1+Assumptions!$C$6)</f>
        <v>1.806111234669415</v>
      </c>
    </row>
    <row r="99" spans="2:25" x14ac:dyDescent="0.3">
      <c r="B99" t="s">
        <v>116</v>
      </c>
    </row>
    <row r="100" spans="2:25" x14ac:dyDescent="0.3">
      <c r="B100" t="s">
        <v>26</v>
      </c>
      <c r="E100" s="16">
        <f t="shared" ref="E100:Y100" si="44">E12-E39-E44-E50-E51-E80</f>
        <v>0</v>
      </c>
      <c r="F100" s="16">
        <f t="shared" si="44"/>
        <v>0</v>
      </c>
      <c r="G100" s="16">
        <f t="shared" si="44"/>
        <v>0</v>
      </c>
      <c r="H100" s="16">
        <f t="shared" si="44"/>
        <v>0</v>
      </c>
      <c r="I100" s="16">
        <f t="shared" si="44"/>
        <v>0</v>
      </c>
      <c r="J100" s="16">
        <f t="shared" si="44"/>
        <v>0</v>
      </c>
      <c r="K100" s="16">
        <f t="shared" si="44"/>
        <v>0</v>
      </c>
      <c r="L100" s="16">
        <f t="shared" si="44"/>
        <v>0</v>
      </c>
      <c r="M100" s="16">
        <f t="shared" si="44"/>
        <v>0</v>
      </c>
      <c r="N100" s="16">
        <f t="shared" si="44"/>
        <v>0</v>
      </c>
      <c r="O100" s="16">
        <f t="shared" si="44"/>
        <v>0</v>
      </c>
      <c r="P100" s="16">
        <f t="shared" si="44"/>
        <v>0</v>
      </c>
      <c r="Q100" s="16">
        <f t="shared" si="44"/>
        <v>0</v>
      </c>
      <c r="R100" s="16">
        <f t="shared" si="44"/>
        <v>0</v>
      </c>
      <c r="S100" s="16">
        <f t="shared" si="44"/>
        <v>0</v>
      </c>
      <c r="T100" s="16">
        <f t="shared" si="44"/>
        <v>0</v>
      </c>
      <c r="U100" s="16">
        <f t="shared" si="44"/>
        <v>0</v>
      </c>
      <c r="V100" s="16">
        <f t="shared" si="44"/>
        <v>0</v>
      </c>
      <c r="W100" s="16">
        <f t="shared" si="44"/>
        <v>0</v>
      </c>
      <c r="X100" s="16">
        <f t="shared" si="44"/>
        <v>0</v>
      </c>
      <c r="Y100" s="16">
        <f t="shared" si="44"/>
        <v>0</v>
      </c>
    </row>
    <row r="101" spans="2:25" x14ac:dyDescent="0.3">
      <c r="B101" t="s">
        <v>85</v>
      </c>
      <c r="E101" s="16">
        <f>E72+E76-SUM(E78:E80)-E81</f>
        <v>0</v>
      </c>
      <c r="F101" s="16">
        <f t="shared" ref="F101:Y101" si="45">F72+F76-SUM(F78:F80)-F81</f>
        <v>0</v>
      </c>
      <c r="G101" s="16">
        <f t="shared" si="45"/>
        <v>0</v>
      </c>
      <c r="H101" s="16">
        <f t="shared" si="45"/>
        <v>0</v>
      </c>
      <c r="I101" s="16">
        <f t="shared" si="45"/>
        <v>0</v>
      </c>
      <c r="J101" s="16">
        <f t="shared" si="45"/>
        <v>0</v>
      </c>
      <c r="K101" s="16">
        <f t="shared" si="45"/>
        <v>0</v>
      </c>
      <c r="L101" s="16">
        <f t="shared" si="45"/>
        <v>0</v>
      </c>
      <c r="M101" s="16">
        <f t="shared" si="45"/>
        <v>0</v>
      </c>
      <c r="N101" s="16">
        <f t="shared" si="45"/>
        <v>0</v>
      </c>
      <c r="O101" s="16">
        <f t="shared" si="45"/>
        <v>0</v>
      </c>
      <c r="P101" s="16">
        <f t="shared" si="45"/>
        <v>0</v>
      </c>
      <c r="Q101" s="16">
        <f t="shared" si="45"/>
        <v>0</v>
      </c>
      <c r="R101" s="16">
        <f t="shared" si="45"/>
        <v>0</v>
      </c>
      <c r="S101" s="16">
        <f t="shared" si="45"/>
        <v>0</v>
      </c>
      <c r="T101" s="16">
        <f t="shared" si="45"/>
        <v>0</v>
      </c>
      <c r="U101" s="16">
        <f t="shared" si="45"/>
        <v>0</v>
      </c>
      <c r="V101" s="16">
        <f t="shared" si="45"/>
        <v>0</v>
      </c>
      <c r="W101" s="16">
        <f t="shared" si="45"/>
        <v>0</v>
      </c>
      <c r="X101" s="16">
        <f t="shared" si="45"/>
        <v>0</v>
      </c>
      <c r="Y101" s="16">
        <f t="shared" si="4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Dashboard</vt:lpstr>
      <vt:lpstr>Assumptions</vt:lpstr>
      <vt:lpstr>Model</vt:lpstr>
      <vt:lpstr>Manual_Input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</dc:creator>
  <cp:lastModifiedBy>S C</cp:lastModifiedBy>
  <dcterms:created xsi:type="dcterms:W3CDTF">2024-01-22T17:38:54Z</dcterms:created>
  <dcterms:modified xsi:type="dcterms:W3CDTF">2024-04-26T16:30:01Z</dcterms:modified>
</cp:coreProperties>
</file>